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ctoriaforman/Downloads/"/>
    </mc:Choice>
  </mc:AlternateContent>
  <xr:revisionPtr revIDLastSave="0" documentId="13_ncr:1_{F9265675-BC1F-264A-8842-43EABFFA2D5B}" xr6:coauthVersionLast="47" xr6:coauthVersionMax="47" xr10:uidLastSave="{00000000-0000-0000-0000-000000000000}"/>
  <bookViews>
    <workbookView xWindow="360" yWindow="11740" windowWidth="28800" windowHeight="16580" activeTab="2" xr2:uid="{49AC9221-AAE1-2A4E-A37F-DCF026F5D05C}"/>
  </bookViews>
  <sheets>
    <sheet name="Inputs" sheetId="1" r:id="rId1"/>
    <sheet name="Worksheets" sheetId="5" r:id="rId2"/>
    <sheet name="Dashboard" sheetId="10" r:id="rId3"/>
    <sheet name="Base School Model" sheetId="4" r:id="rId4"/>
    <sheet name="Assumptions by State" sheetId="3" r:id="rId5"/>
    <sheet name="Data for a Dashboard" sheetId="6" r:id="rId6"/>
    <sheet name="Exemplar 1" sheetId="7" r:id="rId7"/>
    <sheet name="Exemplar 2" sheetId="8" r:id="rId8"/>
    <sheet name="Exemplar 3" sheetId="9" r:id="rId9"/>
    <sheet name="Exemplar 4" sheetId="11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0" l="1"/>
  <c r="F33" i="10"/>
  <c r="F32" i="10"/>
  <c r="F34" i="10"/>
  <c r="F31" i="10"/>
  <c r="F30" i="10"/>
  <c r="E31" i="10"/>
  <c r="E30" i="10"/>
  <c r="E32" i="10"/>
  <c r="E34" i="10"/>
  <c r="E33" i="10"/>
  <c r="E27" i="10"/>
  <c r="E26" i="10"/>
  <c r="E25" i="10"/>
  <c r="E24" i="10"/>
  <c r="E23" i="10"/>
  <c r="E22" i="10"/>
  <c r="E21" i="10"/>
  <c r="E20" i="10"/>
  <c r="E41" i="11"/>
  <c r="D41" i="11"/>
  <c r="C41" i="11"/>
  <c r="B41" i="11"/>
  <c r="E48" i="11"/>
  <c r="E46" i="11"/>
  <c r="E47" i="11" s="1"/>
  <c r="D48" i="11"/>
  <c r="D46" i="11"/>
  <c r="D47" i="11" s="1"/>
  <c r="C48" i="11"/>
  <c r="C46" i="11"/>
  <c r="C47" i="11" s="1"/>
  <c r="E56" i="11"/>
  <c r="D56" i="11"/>
  <c r="C56" i="11"/>
  <c r="B56" i="11"/>
  <c r="B48" i="11"/>
  <c r="B46" i="11"/>
  <c r="B47" i="11" s="1"/>
  <c r="F27" i="10" l="1"/>
  <c r="F26" i="10"/>
  <c r="F25" i="10"/>
  <c r="F24" i="10"/>
  <c r="F23" i="10"/>
  <c r="F22" i="10"/>
  <c r="F21" i="10"/>
  <c r="F20" i="10"/>
  <c r="F14" i="10"/>
  <c r="F13" i="10"/>
  <c r="F12" i="10"/>
  <c r="F11" i="10"/>
  <c r="F10" i="10"/>
  <c r="F9" i="10"/>
  <c r="B34" i="10" l="1"/>
  <c r="B33" i="10"/>
  <c r="B31" i="10"/>
  <c r="B30" i="10"/>
  <c r="E68" i="4" l="1"/>
  <c r="E69" i="4" s="1"/>
  <c r="D68" i="4"/>
  <c r="D69" i="4" s="1"/>
  <c r="C68" i="4"/>
  <c r="C69" i="4" s="1"/>
  <c r="B69" i="4"/>
  <c r="B68" i="4"/>
  <c r="E67" i="4"/>
  <c r="D67" i="4"/>
  <c r="C67" i="4"/>
  <c r="B67" i="4"/>
  <c r="F68" i="4"/>
  <c r="D32" i="10"/>
  <c r="C32" i="10"/>
  <c r="B32" i="10"/>
  <c r="D22" i="10"/>
  <c r="C22" i="10"/>
  <c r="B22" i="10"/>
  <c r="D24" i="10"/>
  <c r="D27" i="10"/>
  <c r="D26" i="10"/>
  <c r="D21" i="10"/>
  <c r="D11" i="10"/>
  <c r="D19" i="10"/>
  <c r="C27" i="10"/>
  <c r="C26" i="10"/>
  <c r="C25" i="10"/>
  <c r="C23" i="10"/>
  <c r="C21" i="10"/>
  <c r="C20" i="10"/>
  <c r="B27" i="10"/>
  <c r="B25" i="10" l="1"/>
  <c r="B21" i="10"/>
  <c r="B20" i="10"/>
  <c r="B14" i="10"/>
  <c r="B11" i="10" s="1"/>
  <c r="E54" i="7"/>
  <c r="D54" i="7"/>
  <c r="C54" i="7"/>
  <c r="D34" i="10"/>
  <c r="D33" i="10"/>
  <c r="D31" i="10"/>
  <c r="D30" i="10"/>
  <c r="C34" i="10"/>
  <c r="C33" i="10"/>
  <c r="C31" i="10"/>
  <c r="C30" i="10"/>
  <c r="F45" i="4"/>
  <c r="F44" i="4"/>
  <c r="F43" i="4"/>
  <c r="F61" i="4"/>
  <c r="F51" i="4"/>
  <c r="F50" i="4"/>
  <c r="F42" i="4"/>
  <c r="F34" i="4"/>
  <c r="F33" i="4"/>
  <c r="F32" i="4"/>
  <c r="F30" i="4"/>
  <c r="F29" i="4"/>
  <c r="F24" i="4"/>
  <c r="F7" i="4"/>
  <c r="F6" i="4"/>
  <c r="F5" i="4"/>
  <c r="F4" i="4"/>
  <c r="E39" i="1"/>
  <c r="E38" i="1"/>
  <c r="E37" i="1"/>
  <c r="E43" i="1"/>
  <c r="E42" i="1"/>
  <c r="E41" i="1"/>
  <c r="K15" i="1"/>
  <c r="K14" i="1"/>
  <c r="K13" i="1"/>
  <c r="K12" i="1"/>
  <c r="J11" i="1"/>
  <c r="B44" i="4" s="1"/>
  <c r="C44" i="4" s="1"/>
  <c r="D44" i="4" s="1"/>
  <c r="E44" i="4" s="1"/>
  <c r="I15" i="1"/>
  <c r="I14" i="1"/>
  <c r="I13" i="1"/>
  <c r="I12" i="1"/>
  <c r="I11" i="1"/>
  <c r="E35" i="1"/>
  <c r="E33" i="1"/>
  <c r="E32" i="1"/>
  <c r="B12" i="1"/>
  <c r="B42" i="4" s="1"/>
  <c r="E27" i="5"/>
  <c r="D27" i="5"/>
  <c r="E21" i="5"/>
  <c r="D21" i="5"/>
  <c r="E16" i="5"/>
  <c r="D16" i="5"/>
  <c r="E9" i="5"/>
  <c r="D9" i="5"/>
  <c r="E12" i="1"/>
  <c r="E16" i="1" s="1"/>
  <c r="D12" i="1"/>
  <c r="D16" i="1" s="1"/>
  <c r="H11" i="1"/>
  <c r="B4" i="4" s="1"/>
  <c r="F12" i="1"/>
  <c r="G12" i="1"/>
  <c r="H13" i="1"/>
  <c r="B5" i="4" s="1"/>
  <c r="H14" i="1"/>
  <c r="B6" i="4" s="1"/>
  <c r="H15" i="1"/>
  <c r="B7" i="4" s="1"/>
  <c r="H12" i="1" l="1"/>
  <c r="B45" i="4"/>
  <c r="C45" i="4" s="1"/>
  <c r="D45" i="4" s="1"/>
  <c r="E45" i="4" s="1"/>
  <c r="B65" i="11"/>
  <c r="B72" i="11" s="1"/>
  <c r="D65" i="11"/>
  <c r="D72" i="11" s="1"/>
  <c r="E50" i="11"/>
  <c r="E54" i="11" s="1"/>
  <c r="D50" i="11"/>
  <c r="D54" i="11" s="1"/>
  <c r="C50" i="11"/>
  <c r="C54" i="11" s="1"/>
  <c r="B50" i="11"/>
  <c r="B54" i="11" s="1"/>
  <c r="E32" i="11"/>
  <c r="D32" i="11"/>
  <c r="C32" i="11"/>
  <c r="B32" i="11"/>
  <c r="D28" i="11"/>
  <c r="C28" i="11"/>
  <c r="B28" i="11"/>
  <c r="E26" i="11"/>
  <c r="E30" i="11" s="1"/>
  <c r="D26" i="11"/>
  <c r="D30" i="11" s="1"/>
  <c r="C26" i="11"/>
  <c r="C30" i="11" s="1"/>
  <c r="E20" i="11"/>
  <c r="E39" i="11" s="1"/>
  <c r="D20" i="11"/>
  <c r="C20" i="11"/>
  <c r="C39" i="11" s="1"/>
  <c r="B20" i="11"/>
  <c r="B39" i="11" s="1"/>
  <c r="E29" i="9"/>
  <c r="D29" i="9"/>
  <c r="C29" i="9"/>
  <c r="E40" i="9"/>
  <c r="D40" i="9"/>
  <c r="C40" i="9"/>
  <c r="B40" i="9"/>
  <c r="E26" i="9"/>
  <c r="D26" i="9"/>
  <c r="C26" i="9"/>
  <c r="E31" i="9"/>
  <c r="D31" i="9"/>
  <c r="C31" i="9"/>
  <c r="B31" i="9"/>
  <c r="E27" i="9"/>
  <c r="D27" i="9"/>
  <c r="C27" i="9"/>
  <c r="B27" i="9"/>
  <c r="E35" i="9"/>
  <c r="E34" i="9"/>
  <c r="D34" i="9"/>
  <c r="D35" i="9" s="1"/>
  <c r="C34" i="9"/>
  <c r="C35" i="9" s="1"/>
  <c r="B34" i="9"/>
  <c r="B35" i="9" s="1"/>
  <c r="E67" i="9"/>
  <c r="D67" i="9"/>
  <c r="C67" i="9"/>
  <c r="B67" i="9"/>
  <c r="E61" i="9"/>
  <c r="E62" i="9"/>
  <c r="E60" i="9"/>
  <c r="D62" i="9"/>
  <c r="D60" i="9"/>
  <c r="C60" i="9"/>
  <c r="C64" i="9" s="1"/>
  <c r="C70" i="9" s="1"/>
  <c r="B60" i="9"/>
  <c r="B61" i="9"/>
  <c r="E55" i="9"/>
  <c r="D55" i="9"/>
  <c r="C55" i="9"/>
  <c r="B55" i="9"/>
  <c r="D52" i="9"/>
  <c r="C10" i="9"/>
  <c r="D10" i="9" s="1"/>
  <c r="E10" i="9" s="1"/>
  <c r="B64" i="9"/>
  <c r="B70" i="9" s="1"/>
  <c r="E49" i="9"/>
  <c r="E53" i="9" s="1"/>
  <c r="D49" i="9"/>
  <c r="C49" i="9"/>
  <c r="C53" i="9" s="1"/>
  <c r="B49" i="9"/>
  <c r="B53" i="9" s="1"/>
  <c r="E25" i="9"/>
  <c r="D25" i="9"/>
  <c r="C25" i="9"/>
  <c r="E19" i="9"/>
  <c r="D19" i="9"/>
  <c r="C19" i="9"/>
  <c r="B19" i="9"/>
  <c r="C12" i="9"/>
  <c r="D12" i="9" s="1"/>
  <c r="E12" i="9" s="1"/>
  <c r="C11" i="9"/>
  <c r="D11" i="9" s="1"/>
  <c r="E11" i="9" s="1"/>
  <c r="D54" i="8"/>
  <c r="C54" i="8"/>
  <c r="C25" i="8"/>
  <c r="D25" i="8" s="1"/>
  <c r="E25" i="8" s="1"/>
  <c r="C30" i="8"/>
  <c r="D30" i="8" s="1"/>
  <c r="E30" i="8" s="1"/>
  <c r="C11" i="8"/>
  <c r="D11" i="8" s="1"/>
  <c r="E11" i="8" s="1"/>
  <c r="C10" i="8"/>
  <c r="D10" i="8" s="1"/>
  <c r="E10" i="8" s="1"/>
  <c r="E62" i="8"/>
  <c r="E68" i="8" s="1"/>
  <c r="D62" i="8"/>
  <c r="D68" i="8" s="1"/>
  <c r="C62" i="8"/>
  <c r="C68" i="8" s="1"/>
  <c r="B62" i="8"/>
  <c r="B68" i="8" s="1"/>
  <c r="E48" i="8"/>
  <c r="E51" i="8" s="1"/>
  <c r="E56" i="8" s="1"/>
  <c r="D48" i="8"/>
  <c r="D51" i="8" s="1"/>
  <c r="D56" i="8" s="1"/>
  <c r="C48" i="8"/>
  <c r="C51" i="8" s="1"/>
  <c r="C56" i="8" s="1"/>
  <c r="B48" i="8"/>
  <c r="B51" i="8" s="1"/>
  <c r="E24" i="8"/>
  <c r="D24" i="8"/>
  <c r="C24" i="8"/>
  <c r="E18" i="8"/>
  <c r="E34" i="8" s="1"/>
  <c r="D18" i="8"/>
  <c r="C18" i="8"/>
  <c r="B18" i="8"/>
  <c r="C31" i="7"/>
  <c r="D31" i="7" s="1"/>
  <c r="E31" i="7" s="1"/>
  <c r="E62" i="7"/>
  <c r="E63" i="7" s="1"/>
  <c r="E69" i="7" s="1"/>
  <c r="D62" i="7"/>
  <c r="C62" i="7"/>
  <c r="C63" i="7" s="1"/>
  <c r="C69" i="7" s="1"/>
  <c r="B62" i="7"/>
  <c r="D63" i="7"/>
  <c r="D69" i="7" s="1"/>
  <c r="E49" i="7"/>
  <c r="D49" i="7"/>
  <c r="C49" i="7"/>
  <c r="C26" i="7"/>
  <c r="D26" i="7" s="1"/>
  <c r="E26" i="7" s="1"/>
  <c r="E25" i="7"/>
  <c r="D25" i="7"/>
  <c r="C25" i="7"/>
  <c r="E19" i="7"/>
  <c r="E34" i="7" s="1"/>
  <c r="E35" i="7" s="1"/>
  <c r="D19" i="7"/>
  <c r="D34" i="7" s="1"/>
  <c r="D35" i="7" s="1"/>
  <c r="C19" i="7"/>
  <c r="C34" i="7" s="1"/>
  <c r="C35" i="7" s="1"/>
  <c r="B54" i="7"/>
  <c r="B49" i="7"/>
  <c r="B52" i="7" s="1"/>
  <c r="B32" i="7"/>
  <c r="B23" i="10" s="1"/>
  <c r="B30" i="4"/>
  <c r="B29" i="4"/>
  <c r="B27" i="4"/>
  <c r="C27" i="4" s="1"/>
  <c r="D27" i="4" s="1"/>
  <c r="E27" i="4" s="1"/>
  <c r="B61" i="4"/>
  <c r="C61" i="4" s="1"/>
  <c r="D61" i="4" s="1"/>
  <c r="E61" i="4" s="1"/>
  <c r="B104" i="5"/>
  <c r="B91" i="5"/>
  <c r="B75" i="5"/>
  <c r="B65" i="5"/>
  <c r="B48" i="5"/>
  <c r="B53" i="5" s="1"/>
  <c r="B62" i="4"/>
  <c r="C62" i="4" s="1"/>
  <c r="D62" i="4" s="1"/>
  <c r="E62" i="4" s="1"/>
  <c r="B34" i="4"/>
  <c r="B33" i="4"/>
  <c r="B32" i="4"/>
  <c r="C32" i="4" s="1"/>
  <c r="D32" i="4" s="1"/>
  <c r="E32" i="4" s="1"/>
  <c r="B12" i="4"/>
  <c r="B11" i="4"/>
  <c r="B10" i="4"/>
  <c r="C7" i="4"/>
  <c r="D7" i="4" s="1"/>
  <c r="E7" i="4" s="1"/>
  <c r="C6" i="4"/>
  <c r="D6" i="4" s="1"/>
  <c r="E6" i="4" s="1"/>
  <c r="B9" i="4"/>
  <c r="C5" i="4"/>
  <c r="D5" i="4" s="1"/>
  <c r="E5" i="4" s="1"/>
  <c r="C4" i="4"/>
  <c r="D4" i="4" s="1"/>
  <c r="E4" i="4" s="1"/>
  <c r="B24" i="7"/>
  <c r="B51" i="4"/>
  <c r="C51" i="4" s="1"/>
  <c r="D51" i="4" s="1"/>
  <c r="E51" i="4" s="1"/>
  <c r="B50" i="4"/>
  <c r="C50" i="4" s="1"/>
  <c r="D50" i="4" s="1"/>
  <c r="E50" i="4" s="1"/>
  <c r="D35" i="5"/>
  <c r="D42" i="5" s="1"/>
  <c r="D34" i="5"/>
  <c r="D41" i="5" s="1"/>
  <c r="D33" i="5"/>
  <c r="D40" i="5" s="1"/>
  <c r="D32" i="5"/>
  <c r="D31" i="5"/>
  <c r="D38" i="5" s="1"/>
  <c r="C36" i="5"/>
  <c r="B36" i="5"/>
  <c r="C27" i="5"/>
  <c r="B27" i="5"/>
  <c r="C21" i="5"/>
  <c r="B21" i="5"/>
  <c r="C16" i="5"/>
  <c r="B16" i="5"/>
  <c r="C9" i="5"/>
  <c r="B9" i="5"/>
  <c r="B24" i="4"/>
  <c r="C12" i="1"/>
  <c r="B16" i="1"/>
  <c r="D35" i="11" l="1"/>
  <c r="D36" i="11" s="1"/>
  <c r="D39" i="11"/>
  <c r="C9" i="4"/>
  <c r="C37" i="4" s="1"/>
  <c r="B37" i="4"/>
  <c r="C10" i="4"/>
  <c r="B38" i="4"/>
  <c r="C30" i="4"/>
  <c r="D30" i="4" s="1"/>
  <c r="E30" i="4" s="1"/>
  <c r="C11" i="4"/>
  <c r="D11" i="4" s="1"/>
  <c r="B39" i="4"/>
  <c r="B92" i="5"/>
  <c r="B93" i="5" s="1"/>
  <c r="B17" i="4"/>
  <c r="C17" i="4" s="1"/>
  <c r="D17" i="4" s="1"/>
  <c r="E17" i="4" s="1"/>
  <c r="B16" i="4"/>
  <c r="C16" i="4" s="1"/>
  <c r="D16" i="4" s="1"/>
  <c r="E16" i="4" s="1"/>
  <c r="C12" i="4"/>
  <c r="D12" i="4" s="1"/>
  <c r="B40" i="4"/>
  <c r="C16" i="1"/>
  <c r="B15" i="4" s="1"/>
  <c r="C15" i="4" s="1"/>
  <c r="D15" i="4" s="1"/>
  <c r="E15" i="4" s="1"/>
  <c r="B43" i="4"/>
  <c r="C33" i="4"/>
  <c r="B59" i="4"/>
  <c r="C34" i="4"/>
  <c r="C29" i="4"/>
  <c r="C24" i="4"/>
  <c r="B26" i="11"/>
  <c r="B24" i="9"/>
  <c r="B25" i="9" s="1"/>
  <c r="C38" i="4"/>
  <c r="D10" i="4"/>
  <c r="B59" i="11"/>
  <c r="B74" i="11" s="1"/>
  <c r="C59" i="11"/>
  <c r="E59" i="11"/>
  <c r="C27" i="11"/>
  <c r="E27" i="11"/>
  <c r="B35" i="11"/>
  <c r="B36" i="11" s="1"/>
  <c r="C65" i="11"/>
  <c r="E28" i="11"/>
  <c r="D59" i="11"/>
  <c r="D74" i="11" s="1"/>
  <c r="E65" i="11"/>
  <c r="E72" i="11" s="1"/>
  <c r="C35" i="11"/>
  <c r="C36" i="11" s="1"/>
  <c r="D27" i="11"/>
  <c r="E35" i="11"/>
  <c r="E36" i="11" s="1"/>
  <c r="D64" i="9"/>
  <c r="D70" i="9" s="1"/>
  <c r="D53" i="9"/>
  <c r="D58" i="9" s="1"/>
  <c r="D72" i="9" s="1"/>
  <c r="E64" i="9"/>
  <c r="E70" i="9" s="1"/>
  <c r="C58" i="9"/>
  <c r="C72" i="9" s="1"/>
  <c r="E58" i="9"/>
  <c r="B58" i="9"/>
  <c r="B72" i="9" s="1"/>
  <c r="B23" i="8"/>
  <c r="B24" i="8" s="1"/>
  <c r="E70" i="8"/>
  <c r="D70" i="8"/>
  <c r="C70" i="8"/>
  <c r="B56" i="8"/>
  <c r="B70" i="8" s="1"/>
  <c r="C52" i="7"/>
  <c r="C57" i="7" s="1"/>
  <c r="C71" i="7" s="1"/>
  <c r="E52" i="7"/>
  <c r="E57" i="7" s="1"/>
  <c r="E71" i="7" s="1"/>
  <c r="D52" i="7"/>
  <c r="D57" i="7" s="1"/>
  <c r="D71" i="7" s="1"/>
  <c r="B57" i="7"/>
  <c r="B19" i="7"/>
  <c r="B34" i="7" s="1"/>
  <c r="B35" i="7" s="1"/>
  <c r="B25" i="7"/>
  <c r="B13" i="4"/>
  <c r="B60" i="4" s="1"/>
  <c r="B19" i="4"/>
  <c r="C19" i="4" s="1"/>
  <c r="B20" i="4"/>
  <c r="C20" i="4" s="1"/>
  <c r="D20" i="4" s="1"/>
  <c r="E20" i="4" s="1"/>
  <c r="B22" i="4"/>
  <c r="C22" i="4" s="1"/>
  <c r="D22" i="4" s="1"/>
  <c r="E22" i="4" s="1"/>
  <c r="B21" i="4"/>
  <c r="C21" i="4" s="1"/>
  <c r="D21" i="4" s="1"/>
  <c r="E21" i="4" s="1"/>
  <c r="D39" i="5"/>
  <c r="D36" i="5"/>
  <c r="B25" i="4"/>
  <c r="C25" i="4" s="1"/>
  <c r="D25" i="4" s="1"/>
  <c r="E25" i="4" s="1"/>
  <c r="C72" i="11" l="1"/>
  <c r="C74" i="11" s="1"/>
  <c r="E74" i="11"/>
  <c r="B47" i="4"/>
  <c r="C43" i="4"/>
  <c r="D9" i="4"/>
  <c r="E9" i="4" s="1"/>
  <c r="C13" i="4"/>
  <c r="C60" i="4" s="1"/>
  <c r="C39" i="4"/>
  <c r="C40" i="4"/>
  <c r="D33" i="4"/>
  <c r="C59" i="4"/>
  <c r="D34" i="4"/>
  <c r="D24" i="4"/>
  <c r="D29" i="4"/>
  <c r="B29" i="9"/>
  <c r="B26" i="9"/>
  <c r="D20" i="10" s="1"/>
  <c r="B30" i="11"/>
  <c r="B27" i="11"/>
  <c r="D19" i="4"/>
  <c r="C23" i="4"/>
  <c r="C54" i="4" s="1"/>
  <c r="D13" i="4"/>
  <c r="D60" i="4" s="1"/>
  <c r="D40" i="4"/>
  <c r="E12" i="4"/>
  <c r="E40" i="4" s="1"/>
  <c r="D38" i="4"/>
  <c r="E10" i="4"/>
  <c r="E38" i="4" s="1"/>
  <c r="D39" i="4"/>
  <c r="E11" i="4"/>
  <c r="E39" i="4" s="1"/>
  <c r="E72" i="9"/>
  <c r="B23" i="4"/>
  <c r="B41" i="4"/>
  <c r="C47" i="4" l="1"/>
  <c r="D43" i="4"/>
  <c r="E43" i="4" s="1"/>
  <c r="C41" i="4"/>
  <c r="D37" i="4"/>
  <c r="D41" i="4" s="1"/>
  <c r="C42" i="4"/>
  <c r="D42" i="4" s="1"/>
  <c r="E33" i="4"/>
  <c r="D59" i="4"/>
  <c r="E34" i="4"/>
  <c r="E29" i="4"/>
  <c r="B28" i="4"/>
  <c r="B66" i="5" s="1"/>
  <c r="B67" i="5" s="1"/>
  <c r="B54" i="4"/>
  <c r="E24" i="4"/>
  <c r="E37" i="4"/>
  <c r="E41" i="4" s="1"/>
  <c r="E13" i="4"/>
  <c r="E60" i="4" s="1"/>
  <c r="E19" i="4"/>
  <c r="E23" i="4" s="1"/>
  <c r="D23" i="4"/>
  <c r="D54" i="4" s="1"/>
  <c r="B63" i="7"/>
  <c r="B69" i="7" s="1"/>
  <c r="B71" i="7" s="1"/>
  <c r="B46" i="4"/>
  <c r="B48" i="4" s="1"/>
  <c r="B52" i="4" s="1"/>
  <c r="E54" i="4" l="1"/>
  <c r="E59" i="4"/>
  <c r="C28" i="4"/>
  <c r="B55" i="4"/>
  <c r="B56" i="4" s="1"/>
  <c r="E42" i="4"/>
  <c r="D47" i="4"/>
  <c r="C46" i="4"/>
  <c r="B57" i="4" l="1"/>
  <c r="B63" i="4" s="1"/>
  <c r="B65" i="4" s="1"/>
  <c r="C55" i="4"/>
  <c r="D28" i="4"/>
  <c r="C48" i="4"/>
  <c r="C52" i="4" s="1"/>
  <c r="E47" i="4"/>
  <c r="E46" i="4"/>
  <c r="D46" i="4"/>
  <c r="D48" i="4" s="1"/>
  <c r="D52" i="4" s="1"/>
  <c r="C56" i="4" l="1"/>
  <c r="C57" i="4" s="1"/>
  <c r="C63" i="4" s="1"/>
  <c r="C65" i="4" s="1"/>
  <c r="D55" i="4"/>
  <c r="D56" i="4" s="1"/>
  <c r="E28" i="4"/>
  <c r="E48" i="4"/>
  <c r="E52" i="4" s="1"/>
  <c r="E55" i="4" l="1"/>
  <c r="E56" i="4" s="1"/>
  <c r="D57" i="4"/>
  <c r="D63" i="4" s="1"/>
  <c r="D65" i="4" s="1"/>
  <c r="E57" i="4" l="1"/>
  <c r="E63" i="4" s="1"/>
  <c r="E65" i="4" s="1"/>
</calcChain>
</file>

<file path=xl/sharedStrings.xml><?xml version="1.0" encoding="utf-8"?>
<sst xmlns="http://schemas.openxmlformats.org/spreadsheetml/2006/main" count="832" uniqueCount="410">
  <si>
    <t>School Financial Model</t>
  </si>
  <si>
    <t>DATA INPUTS</t>
  </si>
  <si>
    <t>Instructions:</t>
  </si>
  <si>
    <t>Yellow - Input data as instructed; worksheet tab provides additional instructions for some data fields</t>
  </si>
  <si>
    <t>Green - Data is calculated or populated based on State selected</t>
  </si>
  <si>
    <t>Operating State (select from drop down)</t>
  </si>
  <si>
    <t>Massachusetts - Urban</t>
  </si>
  <si>
    <t>Tuition and Aid</t>
  </si>
  <si>
    <t>Total # Students Enrolled</t>
  </si>
  <si>
    <t># Students Qualifying for Federal Funds/ Title Funds</t>
  </si>
  <si>
    <t># Students Qualifying for Early Ed State Funding</t>
  </si>
  <si>
    <t># Students Qualifying for GrK-12 State Voucher/ Other Funding</t>
  </si>
  <si>
    <t>Tuition</t>
  </si>
  <si>
    <t>Fees</t>
  </si>
  <si>
    <t>Total Tuition &amp; Fees</t>
  </si>
  <si>
    <t>Federal Funds/ Title Funds for QUALIFIED Students</t>
  </si>
  <si>
    <t>Early Ed State Funding for QUALIFIED Students</t>
  </si>
  <si>
    <t>GrK-12 State Voucher/ Other Funding for QUALIFIED Students</t>
  </si>
  <si>
    <t>Other Financial Aid per ALL Students</t>
  </si>
  <si>
    <t>PK - 2yo-4yo</t>
  </si>
  <si>
    <t xml:space="preserve">Complete Worksheet 1 for to find Enrolled and </t>
  </si>
  <si>
    <t>Kindergarten</t>
  </si>
  <si>
    <t># of Students Qualifying for Public Funding</t>
  </si>
  <si>
    <t>Elem Grades 1-5</t>
  </si>
  <si>
    <t>Middle Grades 6-8</t>
  </si>
  <si>
    <t>Complete Worksheet 2 to calculate Other Financial</t>
  </si>
  <si>
    <t>High School 9-12</t>
  </si>
  <si>
    <t>Aid per ALL Students</t>
  </si>
  <si>
    <t>Total Enrollment</t>
  </si>
  <si>
    <t>Annual Fundraising</t>
  </si>
  <si>
    <r>
      <t xml:space="preserve">Annual fundraising to support the schools operations - </t>
    </r>
    <r>
      <rPr>
        <sz val="12"/>
        <color theme="5" tint="-0.499984740745262"/>
        <rFont val="Calibri (Body)"/>
      </rPr>
      <t>Complete Worksheet 3 for Annual Fundraising</t>
    </r>
  </si>
  <si>
    <t>Investment Draw</t>
  </si>
  <si>
    <t>Draw from endowment and/or investment gains from school's investment portfolio</t>
  </si>
  <si>
    <t># Administrators/Teacher</t>
  </si>
  <si>
    <t>Number of non-teaching professionals per teaching staff - number likely to be less that 1</t>
  </si>
  <si>
    <t>Avg Administrator Salary</t>
  </si>
  <si>
    <r>
      <t xml:space="preserve">Average pay for administrators - </t>
    </r>
    <r>
      <rPr>
        <sz val="12"/>
        <color theme="5" tint="-0.499984740745262"/>
        <rFont val="Calibri (Body)"/>
      </rPr>
      <t>Complete Worksheet 4 for Avg Administrator Salary</t>
    </r>
  </si>
  <si>
    <t>Cost for Non-Professional Staff</t>
  </si>
  <si>
    <r>
      <t xml:space="preserve">Pay for Facilities, Cleaning, Admin Asst, other non-professional staff - </t>
    </r>
    <r>
      <rPr>
        <sz val="12"/>
        <color theme="5" tint="-0.499984740745262"/>
        <rFont val="Calibri (Body)"/>
      </rPr>
      <t>Complete Worksheet 5 for Cost of Non-Professional Staff</t>
    </r>
  </si>
  <si>
    <t>Debt Service per year</t>
  </si>
  <si>
    <t>Interest expense plus principal payment on outstanding debt</t>
  </si>
  <si>
    <t>Facilities &amp; Admin Cost/Student</t>
  </si>
  <si>
    <r>
      <t xml:space="preserve">Rent, Utilities, Repairs and Maintenance, Technology costs per student - </t>
    </r>
    <r>
      <rPr>
        <sz val="12"/>
        <color theme="5" tint="-0.499984740745262"/>
        <rFont val="Calibri (Body)"/>
      </rPr>
      <t>Complete Worksheet 6 for Facilities &amp; Admin Cost/Student</t>
    </r>
  </si>
  <si>
    <t>Capital Expenditures</t>
  </si>
  <si>
    <r>
      <t xml:space="preserve">Capital expeditures for new projects and deferred maintenance - </t>
    </r>
    <r>
      <rPr>
        <sz val="12"/>
        <color theme="5" tint="-0.499984740745262"/>
        <rFont val="Calibri (Body)"/>
      </rPr>
      <t>Complete Worksheet 7 for Capital Expenditures</t>
    </r>
  </si>
  <si>
    <t>Growth Rate Tuition and similar</t>
  </si>
  <si>
    <t>Calculated growth rate beyond the base year for tuition, pay, supplies and other non-state funded revenue and expenses</t>
  </si>
  <si>
    <t>Growth Rate for State/Fed Funds</t>
  </si>
  <si>
    <t>Calculated growth rate beyond the base year state funded revenue and expenses</t>
  </si>
  <si>
    <t>Growth rate for other items (See Base Model)</t>
  </si>
  <si>
    <t>Various</t>
  </si>
  <si>
    <t>Growth Rate (default = 0%) for certain items adjusted case by case; need to populate the Base School Model sheet - see cells in BLUE</t>
  </si>
  <si>
    <t>Assumptions (Vary by State):</t>
  </si>
  <si>
    <t>Average Teacher Salary</t>
  </si>
  <si>
    <t>Benefits % of Salary</t>
  </si>
  <si>
    <t>Cost of Living Adjustment</t>
  </si>
  <si>
    <t>Early Ed - Student/Teacher Ratio</t>
  </si>
  <si>
    <t>K-5 - Student/Teacher Ratio</t>
  </si>
  <si>
    <t>MS/HS - Student/Teacher Ratio</t>
  </si>
  <si>
    <t>Pre-K-5 - Materials Cost/Student</t>
  </si>
  <si>
    <t>6-8 - Materials Cost/Student</t>
  </si>
  <si>
    <t>9-12 - Materials Cost/Student</t>
  </si>
  <si>
    <t>Capitalized Cost Basis of School Facility</t>
  </si>
  <si>
    <t>In calculating recommended re-investment, assumes depreciable life of 40</t>
  </si>
  <si>
    <t>Capitalized Cost of All Other Assets</t>
  </si>
  <si>
    <t>In calculating recommended re-investment, assumes depreciable ave life of 7</t>
  </si>
  <si>
    <t>Assumptions (Fixed):</t>
  </si>
  <si>
    <t>Kindergarten enrollment, tuition &amp; fees are same as Elementary grades: discount per student same as Early Education.</t>
  </si>
  <si>
    <t>Using high school teacher salaries for all teachers in a K-12 school.</t>
  </si>
  <si>
    <t>DATA INPUTS - Optional Worksheets to Help Populate the Inputs Tab</t>
  </si>
  <si>
    <t>Worksheet 1 - Calculation of # of Student Qualifying for State Funding</t>
  </si>
  <si>
    <t>Enrollment</t>
  </si>
  <si>
    <t># Students Qualifying for Gr1-12 State Voucher/ Other Funding</t>
  </si>
  <si>
    <t xml:space="preserve">2yo </t>
  </si>
  <si>
    <t>3yo</t>
  </si>
  <si>
    <t>4yo</t>
  </si>
  <si>
    <t>&lt;--- for Inputs cells B12-E12</t>
  </si>
  <si>
    <t>Grade 1</t>
  </si>
  <si>
    <t>Grade 2</t>
  </si>
  <si>
    <t>Grade 3</t>
  </si>
  <si>
    <t>Grade 4</t>
  </si>
  <si>
    <t>Grade 5</t>
  </si>
  <si>
    <t>&lt;--- for Inputs cells B14 &amp; C14</t>
  </si>
  <si>
    <t>Grade 6</t>
  </si>
  <si>
    <t>Grade 7</t>
  </si>
  <si>
    <t>Grade 8</t>
  </si>
  <si>
    <t>&lt;--- for Inputs cells B15 &amp; C15</t>
  </si>
  <si>
    <t>Grade 9</t>
  </si>
  <si>
    <t>Grade 10</t>
  </si>
  <si>
    <t>Grade 11</t>
  </si>
  <si>
    <t>Grade 12</t>
  </si>
  <si>
    <t>&lt;--- for Inputs cells B16 &amp; C16</t>
  </si>
  <si>
    <t>Worksheet 2 - Calculation of Financial Aid/Student</t>
  </si>
  <si>
    <t>Total Aid Funded Internally</t>
  </si>
  <si>
    <t>Total Aid Funded by Donors</t>
  </si>
  <si>
    <t>Total Other Financial Aid per ALL Students</t>
  </si>
  <si>
    <t>2yo-4yo</t>
  </si>
  <si>
    <t xml:space="preserve">Elementary </t>
  </si>
  <si>
    <t xml:space="preserve">Middle School </t>
  </si>
  <si>
    <t>High School</t>
  </si>
  <si>
    <t>Calculated Aid per ALL Students:</t>
  </si>
  <si>
    <t>&lt;--- for Input to cell H12</t>
  </si>
  <si>
    <t>&lt;--- for Input to cell H13</t>
  </si>
  <si>
    <t>&lt;--- for Input to cell H14</t>
  </si>
  <si>
    <t>&lt;--- for Input to cell H15</t>
  </si>
  <si>
    <t>&lt;--- for Input to cell H16</t>
  </si>
  <si>
    <t>Worksheet 3 - Calculation of Annual Fundraising</t>
  </si>
  <si>
    <t>Donations received for events</t>
  </si>
  <si>
    <t>Total cost of holding events</t>
  </si>
  <si>
    <t xml:space="preserve">  Net proceeds from fundraising events</t>
  </si>
  <si>
    <t>Annual Fund gifts</t>
  </si>
  <si>
    <t>Fundraising for Financial Aid</t>
  </si>
  <si>
    <t>Fundraising for Other Specific Purposes</t>
  </si>
  <si>
    <t xml:space="preserve">  Total Fundraising</t>
  </si>
  <si>
    <t>&lt;---for Input to cell D19</t>
  </si>
  <si>
    <t>Worksheet 4 - Average Administrator Salary</t>
  </si>
  <si>
    <t>President/Head of School Salary</t>
  </si>
  <si>
    <t>Principal Salary</t>
  </si>
  <si>
    <t>Vice Principal/Dean other Academic Admin Salary(ies)</t>
  </si>
  <si>
    <t>Business Officer and Team Salary(ies)</t>
  </si>
  <si>
    <t>Advancement/Fundraising Salary(ies)</t>
  </si>
  <si>
    <t>Enrollment Team Salary(ies)</t>
  </si>
  <si>
    <t>Communication, DEI, Athletics Salary(ies)</t>
  </si>
  <si>
    <t>Other Professional Administrative Staff Salary(ies)</t>
  </si>
  <si>
    <t>Total number of FTEs represented with above roles</t>
  </si>
  <si>
    <t>Drawn from the Base School model tab, cell B21</t>
  </si>
  <si>
    <t>&lt;---for Input to cell D22</t>
  </si>
  <si>
    <t>Worksheet 5 - Cost for Non-Professional Staff</t>
  </si>
  <si>
    <t>Wages for Facilities Staff</t>
  </si>
  <si>
    <t>Wages for Cleaning Staff</t>
  </si>
  <si>
    <t>Wages for Adminstrative Asst Support</t>
  </si>
  <si>
    <t>Other Wages for Non-Professional Staff</t>
  </si>
  <si>
    <t>&lt;---for Input to cell D23</t>
  </si>
  <si>
    <t>Worksheet 6 - Facility &amp; Admin Cost per Student</t>
  </si>
  <si>
    <t>Annual Rent</t>
  </si>
  <si>
    <t>Electricity</t>
  </si>
  <si>
    <t>Water/Sewer</t>
  </si>
  <si>
    <t>Gas Cost</t>
  </si>
  <si>
    <t>Phone/Cable</t>
  </si>
  <si>
    <t>Other Utilities</t>
  </si>
  <si>
    <t>Cleaning Costs</t>
  </si>
  <si>
    <t>Technology Cost</t>
  </si>
  <si>
    <t>Cost to Rent Ancillary Facilities (ie. For Athletics)</t>
  </si>
  <si>
    <t>Cost for Parking</t>
  </si>
  <si>
    <t>Cost for Facilities Supplies</t>
  </si>
  <si>
    <t>Other Facility Cost</t>
  </si>
  <si>
    <t>Total number of students</t>
  </si>
  <si>
    <t>&lt;---for Input to cell D25</t>
  </si>
  <si>
    <t>Worksheet 7 - Capital Expeditures</t>
  </si>
  <si>
    <t>Cost of new capital project</t>
  </si>
  <si>
    <t>Building a makerspace</t>
  </si>
  <si>
    <t>Cost of deferred maintenance project</t>
  </si>
  <si>
    <t>Fixing the boiler</t>
  </si>
  <si>
    <t>Add more as relevant</t>
  </si>
  <si>
    <t>&lt;---for Input to cell D26</t>
  </si>
  <si>
    <t>Dashboard</t>
  </si>
  <si>
    <t>Exemplar 1</t>
  </si>
  <si>
    <t>Exemplar 2</t>
  </si>
  <si>
    <t>Exemplar 3</t>
  </si>
  <si>
    <t>Exemplar 4</t>
  </si>
  <si>
    <t>Your School</t>
  </si>
  <si>
    <t>School Description</t>
  </si>
  <si>
    <t>Urban school serving a relatively affluent population; much of growth in pre-school</t>
  </si>
  <si>
    <t>School using a sliding scale tuition model; using state tax credits to make the school affordable</t>
  </si>
  <si>
    <t>School which just started operations and is growing to enrollment into the 8th grade</t>
  </si>
  <si>
    <t>School serving 100% free and reduced lunch qualifying students with full enrollment</t>
  </si>
  <si>
    <t>Location</t>
  </si>
  <si>
    <t>Massachusetts</t>
  </si>
  <si>
    <t>Florida</t>
  </si>
  <si>
    <t>Tennessee</t>
  </si>
  <si>
    <t>Wisconsin</t>
  </si>
  <si>
    <t>Grade Levels</t>
  </si>
  <si>
    <t>Age 2 to Grade 6</t>
  </si>
  <si>
    <t>K-6 growing to grade 8</t>
  </si>
  <si>
    <t>Pre-K (age 4) growing to grade 8</t>
  </si>
  <si>
    <t>Pre-K (age 4) to grade 8</t>
  </si>
  <si>
    <t>520 to 636 in 4 years</t>
  </si>
  <si>
    <t>54 to 146 in 4 years</t>
  </si>
  <si>
    <t>96 to 228 in 4 years</t>
  </si>
  <si>
    <t>% of Students Qualifying for Vouchers/School Choice Aid</t>
  </si>
  <si>
    <t>na</t>
  </si>
  <si>
    <t>Info not avail</t>
  </si>
  <si>
    <t>% of Students Qualifying for State/Fed Funding</t>
  </si>
  <si>
    <t>Total Discount %</t>
  </si>
  <si>
    <t>% Voucher/School Choice</t>
  </si>
  <si>
    <t>% Other Fed/State Aid</t>
  </si>
  <si>
    <t>% Funded w/Donations/Ops</t>
  </si>
  <si>
    <t>Rented or Owned Facilty</t>
  </si>
  <si>
    <t>Rented (Church)</t>
  </si>
  <si>
    <t>Rented</t>
  </si>
  <si>
    <t>Break Even Year</t>
  </si>
  <si>
    <t>Prior to Base Year</t>
  </si>
  <si>
    <t>Base Year</t>
  </si>
  <si>
    <t>2026-7 SY</t>
  </si>
  <si>
    <t>24-25 for the system</t>
  </si>
  <si>
    <t>Key Metrics:</t>
  </si>
  <si>
    <t xml:space="preserve">  Tuition</t>
  </si>
  <si>
    <t>$7,400-$9,000</t>
  </si>
  <si>
    <t>Sliding Scale - Avg = $4,914</t>
  </si>
  <si>
    <t>$8500-$9100</t>
  </si>
  <si>
    <t>$7,700-$10,200</t>
  </si>
  <si>
    <t xml:space="preserve">  Avg Teacher Salary</t>
  </si>
  <si>
    <t xml:space="preserve">  Avg Admin Salary</t>
  </si>
  <si>
    <t xml:space="preserve">  Direct Teaching/Program Costs per Student</t>
  </si>
  <si>
    <t xml:space="preserve">  Other Costs per Student</t>
  </si>
  <si>
    <t xml:space="preserve">  State, Federal Funding per Student</t>
  </si>
  <si>
    <t xml:space="preserve">  Annual Fundraising per Student</t>
  </si>
  <si>
    <r>
      <t xml:space="preserve"> </t>
    </r>
    <r>
      <rPr>
        <sz val="12"/>
        <color theme="1"/>
        <rFont val="Calibri"/>
        <family val="2"/>
        <scheme val="minor"/>
      </rPr>
      <t>Cost per Pupil to Operate - Including Facility</t>
    </r>
  </si>
  <si>
    <r>
      <t xml:space="preserve"> </t>
    </r>
    <r>
      <rPr>
        <sz val="12"/>
        <color theme="1"/>
        <rFont val="Calibri"/>
        <family val="2"/>
        <scheme val="minor"/>
      </rPr>
      <t>Cost per Pupil to Operate - Without Facility</t>
    </r>
  </si>
  <si>
    <t>State Key Metrics:</t>
  </si>
  <si>
    <t xml:space="preserve">  Avg Teacher Salary - Grammar</t>
  </si>
  <si>
    <t xml:space="preserve">  Avg Teacher Salary - High School</t>
  </si>
  <si>
    <t xml:space="preserve">  Avg Public School Teacher Salary</t>
  </si>
  <si>
    <t>Base Model</t>
  </si>
  <si>
    <t>Year 2</t>
  </si>
  <si>
    <t>Year 3</t>
  </si>
  <si>
    <t>Year 4</t>
  </si>
  <si>
    <t>Assns</t>
  </si>
  <si>
    <t>Early Ed Tuition</t>
  </si>
  <si>
    <t>Growth Rate</t>
  </si>
  <si>
    <t>Elementary Tuition (K-5)</t>
  </si>
  <si>
    <t>MS Tuition (6-8)</t>
  </si>
  <si>
    <t>HS Tuition</t>
  </si>
  <si>
    <t>Early Ed Enrollment</t>
  </si>
  <si>
    <t>Elementary Enrollment</t>
  </si>
  <si>
    <t>MS Enrollment</t>
  </si>
  <si>
    <t>HS Enrollment</t>
  </si>
  <si>
    <t xml:space="preserve">  Total Enrollment</t>
  </si>
  <si>
    <t>% Enrollment Qualify for Federal Funds/Title Funds</t>
  </si>
  <si>
    <t>% Enrollment Qualify for Early Ed State Funding</t>
  </si>
  <si>
    <t>% Enrollment Grade 1-12 Qualify for State Voucher/Other Funding</t>
  </si>
  <si>
    <t>Early Ed # of Teachers</t>
  </si>
  <si>
    <t>Elementary # of Teachers</t>
  </si>
  <si>
    <t>MS # of Teachers</t>
  </si>
  <si>
    <t>HS # of Teachers</t>
  </si>
  <si>
    <t># of Administrators</t>
  </si>
  <si>
    <t>Tution &amp; Fees Early Ed</t>
  </si>
  <si>
    <t>Tuition &amp; Fees Elementary (K-5)</t>
  </si>
  <si>
    <t>Tuition &amp; Fees Middle School (6-8)</t>
  </si>
  <si>
    <t>Tuition &amp; Fees High School</t>
  </si>
  <si>
    <t xml:space="preserve">  Total Tuition and Fees</t>
  </si>
  <si>
    <t>Financial Aid/Discount</t>
  </si>
  <si>
    <t>Federal Funds/Title Funds Supporting Tuition</t>
  </si>
  <si>
    <t>Early Ed State Funding Discount for Families</t>
  </si>
  <si>
    <t>Grade 1-12 State Voucher Other Funding Discount</t>
  </si>
  <si>
    <t xml:space="preserve">  Net Tuition and Fees Paid by Families</t>
  </si>
  <si>
    <t>Voucher/Public Funding Revenue</t>
  </si>
  <si>
    <t xml:space="preserve">  Net Tuition and Fees from Families and Public Funding Sources</t>
  </si>
  <si>
    <t xml:space="preserve">  Total Revenue</t>
  </si>
  <si>
    <t>Teacher Pay</t>
  </si>
  <si>
    <t>Administrator Pay</t>
  </si>
  <si>
    <t>Benefits</t>
  </si>
  <si>
    <t xml:space="preserve">  Total Compensation</t>
  </si>
  <si>
    <t>Student Materials and Programs</t>
  </si>
  <si>
    <t>Facilities &amp; Admin Costs</t>
  </si>
  <si>
    <t>Debt Service Costs</t>
  </si>
  <si>
    <t xml:space="preserve">  Total Costs</t>
  </si>
  <si>
    <t xml:space="preserve">  Net Operating Gain or (Loss)</t>
  </si>
  <si>
    <t>Capital Def'd Maintenance - Core Facility (assuming owned)</t>
  </si>
  <si>
    <t>Assumes no major improvements</t>
  </si>
  <si>
    <t>Capital Def'd Maintenance - Improvements and other Capital Items</t>
  </si>
  <si>
    <t>Recommended Allocation for Capital Deferred Maintenance</t>
  </si>
  <si>
    <t>Basic Assumptions</t>
  </si>
  <si>
    <t>Base Early Ed - Gr 5 Materials Cost/Student</t>
  </si>
  <si>
    <t>Average of Base for Exemplars</t>
  </si>
  <si>
    <t>Base MS Materials Cost/Student</t>
  </si>
  <si>
    <t>Base HS Materials Cost/Student</t>
  </si>
  <si>
    <t>OPEN</t>
  </si>
  <si>
    <t>Table Updated 8-13</t>
  </si>
  <si>
    <t>Col 2</t>
  </si>
  <si>
    <t>Col 3</t>
  </si>
  <si>
    <t>Col 4</t>
  </si>
  <si>
    <t>Col 5</t>
  </si>
  <si>
    <t>Col 6</t>
  </si>
  <si>
    <t>Col 7</t>
  </si>
  <si>
    <t>Col 8</t>
  </si>
  <si>
    <t>Col 9</t>
  </si>
  <si>
    <t>Col 10</t>
  </si>
  <si>
    <t>Col 11</t>
  </si>
  <si>
    <t>Column1</t>
  </si>
  <si>
    <t>K-8 Teacher Salary</t>
  </si>
  <si>
    <t>K-12 or 9-12 Teacher Salary</t>
  </si>
  <si>
    <t>Benefits/ Employment Tax % of Salary</t>
  </si>
  <si>
    <t xml:space="preserve">COLA </t>
  </si>
  <si>
    <t>EE Student/ Teacher Ratio</t>
  </si>
  <si>
    <t>K-5 Student/ Teacher Ratio</t>
  </si>
  <si>
    <t>MS/HS Student/ Teacher Ratio</t>
  </si>
  <si>
    <t>Federal/Title Funding per Eligible Student</t>
  </si>
  <si>
    <t>Early Ed State Funding per Eligible Student</t>
  </si>
  <si>
    <t>GrK-12 Voucher/Other Funding per Eligible Student</t>
  </si>
  <si>
    <t>Alabama</t>
  </si>
  <si>
    <t>Alaska</t>
  </si>
  <si>
    <t>Arizona</t>
  </si>
  <si>
    <t>Arkansas</t>
  </si>
  <si>
    <t>California - Rural</t>
  </si>
  <si>
    <t>California - Urban</t>
  </si>
  <si>
    <t>Colorado</t>
  </si>
  <si>
    <t>Connecticut</t>
  </si>
  <si>
    <t>Delaware</t>
  </si>
  <si>
    <t>District of Columiba - Urban</t>
  </si>
  <si>
    <t>Georgia</t>
  </si>
  <si>
    <t>Hawaii</t>
  </si>
  <si>
    <t>Idaho</t>
  </si>
  <si>
    <t>Illinois - Urban</t>
  </si>
  <si>
    <t>Illinois - Rural</t>
  </si>
  <si>
    <t>Indiana</t>
  </si>
  <si>
    <t>Iowa</t>
  </si>
  <si>
    <t>Kansas</t>
  </si>
  <si>
    <t>Kentucky</t>
  </si>
  <si>
    <t>Louisiana</t>
  </si>
  <si>
    <t>Maine</t>
  </si>
  <si>
    <t>Maryland</t>
  </si>
  <si>
    <t>Massachusetts - Rural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</si>
  <si>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</si>
  <si>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</si>
  <si>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</si>
  <si>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</si>
  <si>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</si>
  <si>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</si>
  <si>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</si>
  <si>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</si>
  <si>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</si>
  <si>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</si>
  <si>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 - Urban</t>
  </si>
  <si>
    <t>New York - Rural</t>
  </si>
  <si>
    <t>North Carolina</t>
  </si>
  <si>
    <t>North Dakota</t>
  </si>
  <si>
    <t>Ohio</t>
  </si>
  <si>
    <t>Oklahoma</t>
  </si>
  <si>
    <t>Oregon</t>
  </si>
  <si>
    <t>Pennsylvania - Urban</t>
  </si>
  <si>
    <t>Pennsylvania - Rural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</si>
  <si>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</si>
  <si>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</si>
  <si>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</si>
  <si>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</si>
  <si>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</si>
  <si>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</si>
  <si>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</si>
  <si>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</si>
  <si>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</si>
  <si>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Wyoming</t>
  </si>
  <si>
    <t>K-8 Teacher Salary; Source = https://www.ziprecruiter.com/Salaries/What-Is-the-Average-Catholic-School-Teacher-Salary-by-State</t>
  </si>
  <si>
    <t>K-12 or 9-12 Teacher Salary; Source = https://www.ziprecruiter.com/Salaries/Private-High-School-Teacher-Salary (note;  Rural and Urban salaries are the same for this data set)</t>
  </si>
  <si>
    <t>Benefits/Employment Tax as a % of Salary = Data not available, using 25% (average of Exemplars 1-3 is 23.9%)</t>
  </si>
  <si>
    <t>COLA; Source = https://meric.mo.gov/data/cost-living-data-series</t>
  </si>
  <si>
    <t>EE Student/ Teacher Ratio; Source = https://worldpopulationreview.com/state-rankings/child-care-ratio-by-state; Idaho does not have class size guidance so used highest of the states</t>
  </si>
  <si>
    <t>K-5 Student/ Teacher Ratio; Source = https://worldpopulationreview.com/state-rankings/child-care-ratio-by-state; Idaho does not have class size guidance so used highest of the states</t>
  </si>
  <si>
    <t>MS/HS Student/ Teacher Ratio; Source = https://worldpopulationreview.com/state-rankings/child-care-ratio-by-state; Idaho does not have class size guidance so used highest of the states</t>
  </si>
  <si>
    <t>Federal/Title Funding per Eligible Student; Source =https://ccdf.urban.org/sites/default/files/CrossStateVariationCCDFPolicies2018%20%28final%2011%2021%202019%29.pdf; pp 257-59</t>
  </si>
  <si>
    <t>Early Ed State Funding per Eligible Student; Source = https://ccdf.urban.org/sites/default/files/CrossStateVariationCCDFPolicies2018%20%28final%2011%2021%202019%29.pdf; pp 257-59</t>
  </si>
  <si>
    <t xml:space="preserve">GrK-12 Voucher/Other Funding per Eligible Student; Source = https://nces.ed.gov/pubsearch/pubsinfo.asp?pubid=2022301: School Choice file for columns " Gr1-12 Voucher/Choice per </t>
  </si>
  <si>
    <t xml:space="preserve">     Eligible Student", "Public School per pupil with capital", "Public School Per Pupil Funding without capital"</t>
  </si>
  <si>
    <t>DATA for Dashboard</t>
  </si>
  <si>
    <t>Public School Per Pupil Funding Per State</t>
  </si>
  <si>
    <t>Where Cost Includes Capital/ Facilities</t>
  </si>
  <si>
    <t>Where Cost Does not Include Capital/ Facilities</t>
  </si>
  <si>
    <t>Average Teacher Salary (Public Schools)</t>
  </si>
  <si>
    <t>Source:  OPEN</t>
  </si>
  <si>
    <t>Average Teacher Salary (Public Schools); Source:  https://worldpopulationreview.com/state-rankings/teacher-pay-by-state and for DC:  https://www.salary.com/tools/salary-calculator/public-school-teacher/washington-dc</t>
  </si>
  <si>
    <r>
      <rPr>
        <b/>
        <i/>
        <sz val="12"/>
        <color theme="1"/>
        <rFont val="Calibri"/>
        <family val="2"/>
        <scheme val="minor"/>
      </rPr>
      <t>Narrative:</t>
    </r>
    <r>
      <rPr>
        <sz val="12"/>
        <color theme="1"/>
        <rFont val="Calibri"/>
        <family val="2"/>
        <scheme val="minor"/>
      </rPr>
      <t xml:space="preserve">  Urban Massachusetts school serving students from age 2 to Grade 6 (normal entry year in Boston exam/magnet schools and private schools, including</t>
    </r>
  </si>
  <si>
    <t>Catholics is Grade 7).  Base Year is 2021-22 Budget and is the first year of an expansion aimed to improvement enrollment and retention in grammar school grades.</t>
  </si>
  <si>
    <t>School has a vibrant after school and summer program which is not included in the model below.</t>
  </si>
  <si>
    <t>Teacher salaries grow at 3% per year</t>
  </si>
  <si>
    <t>Includes specialist teacher s.a. music, phys ed, etc</t>
  </si>
  <si>
    <t>Facilities Cost/Student</t>
  </si>
  <si>
    <t>Flat - efficiencies with enrollment growth (assumption)</t>
  </si>
  <si>
    <t>Voucher/School Choice Revenue per Eligible Student</t>
  </si>
  <si>
    <t>EE State Funding per Eligible Student</t>
  </si>
  <si>
    <t>Gr 1-12 State Funding per Eligible Student</t>
  </si>
  <si>
    <t>Rented or Owned Facility?</t>
  </si>
  <si>
    <t>Net of sibling discount</t>
  </si>
  <si>
    <t>Voucher/Public Funding Discount</t>
  </si>
  <si>
    <t xml:space="preserve">  Net Tuition and Fees</t>
  </si>
  <si>
    <t>After School &amp; Summer revenue/expense excluded from model</t>
  </si>
  <si>
    <t>Non Professional Staff Pay</t>
  </si>
  <si>
    <r>
      <rPr>
        <b/>
        <i/>
        <sz val="12"/>
        <color theme="1"/>
        <rFont val="Calibri"/>
        <family val="2"/>
        <scheme val="minor"/>
      </rPr>
      <t>Narrative:</t>
    </r>
    <r>
      <rPr>
        <sz val="12"/>
        <color theme="1"/>
        <rFont val="Calibri"/>
        <family val="2"/>
        <scheme val="minor"/>
      </rPr>
      <t xml:space="preserve">  Florida school serving students in Kindergarten though grade 6 - growing to serve students through grade 8.  This school makes use of the Florida tax credits</t>
    </r>
  </si>
  <si>
    <t>available to make tuition affordable for families.  Tuition is modeled on a sliding scale based upon what families can affort.  Base year is 2021-22 school year.</t>
  </si>
  <si>
    <t>Elementary Enrollment (K-5)</t>
  </si>
  <si>
    <t>Teacher salaries grow at 2% per year</t>
  </si>
  <si>
    <t>Tuition &amp; Fees Elementary</t>
  </si>
  <si>
    <t>Tuition &amp; Fees Middle School</t>
  </si>
  <si>
    <t>No financial aid as tuition is on a sliding scale basis</t>
  </si>
  <si>
    <t>Not contemplated in the model</t>
  </si>
  <si>
    <t xml:space="preserve">  </t>
  </si>
  <si>
    <t>Rent was $12,000 in the base year</t>
  </si>
  <si>
    <r>
      <rPr>
        <b/>
        <i/>
        <sz val="12"/>
        <color theme="1"/>
        <rFont val="Calibri"/>
        <family val="2"/>
        <scheme val="minor"/>
      </rPr>
      <t>Narrative:</t>
    </r>
    <r>
      <rPr>
        <sz val="12"/>
        <color theme="1"/>
        <rFont val="Calibri"/>
        <family val="2"/>
        <scheme val="minor"/>
      </rPr>
      <t xml:space="preserve">  A Pre-K through 8th grade school located in Tennessee serving students in Pre-K (age 4 at school start) to grade 8.</t>
    </r>
  </si>
  <si>
    <t>The base year is 2021-22 and in that year served grades Pre-K-3 and grows to grade 8 by 2025-2026.  School commenced operations</t>
  </si>
  <si>
    <t>in the 2020-21 school year and expects to be at break even by the 2026-7 school year.</t>
  </si>
  <si>
    <t>Base yr tuition from website, assumes 2% incr per year</t>
  </si>
  <si>
    <t>Includes student support staff</t>
  </si>
  <si>
    <t>Includes 0.5 for the FTE sharing Pre-K/Operations duties</t>
  </si>
  <si>
    <t>Model assumes 35% of students qualify for aid - Calculated based on that assn</t>
  </si>
  <si>
    <t>All tuition and fees shown as elementary as the model does not break out revenue by grade level</t>
  </si>
  <si>
    <t>Voucher/School Choice Revenue</t>
  </si>
  <si>
    <t>Federal/State Available Funding</t>
  </si>
  <si>
    <t>All discount/funding shown on this line as the model provided did not dissaggregate</t>
  </si>
  <si>
    <t>All State/Fed Funding Revenue</t>
  </si>
  <si>
    <t>Model assumes no annual fundraising</t>
  </si>
  <si>
    <t>New school without an endowment or cumulative gains</t>
  </si>
  <si>
    <t>Rent is $78,336 in the base year</t>
  </si>
  <si>
    <r>
      <rPr>
        <b/>
        <i/>
        <sz val="12"/>
        <color theme="1"/>
        <rFont val="Calibri"/>
        <family val="2"/>
        <scheme val="minor"/>
      </rPr>
      <t>Narrative:</t>
    </r>
    <r>
      <rPr>
        <sz val="12"/>
        <color theme="1"/>
        <rFont val="Calibri"/>
        <family val="2"/>
        <scheme val="minor"/>
      </rPr>
      <t xml:space="preserve">  This is one campus of a school in Wisconsin serving students age 4 through Grade 8.  100% of students qualify for free and reduced lunch except for a</t>
    </r>
  </si>
  <si>
    <t>handful of school employee children.  Revenues are funded through Wisconsin's school choice program.  About 10% of students access special education services.</t>
  </si>
  <si>
    <t>This is a school with stable enrollment with growth through expansion of other campuses.  This projected growth is not reflected in the financial information</t>
  </si>
  <si>
    <t>below.  Note that the school network shows an operating gain in the 24-25 school year.  The base year is the 2022-2023 school year.</t>
  </si>
  <si>
    <t>State funding for 58 students accessing special education services</t>
  </si>
  <si>
    <t>100% of students fully funded through the school choice program</t>
  </si>
  <si>
    <t>100% students fully funded through vouchers except faculty/staff children</t>
  </si>
  <si>
    <t>Funding for students with special educational needs</t>
  </si>
  <si>
    <t>Net Expense/(Revenue) Associated with the Food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</si>
</sst>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%"/>
    <numFmt numFmtId="169" formatCode="&quot;$&quot;#,##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 (Body)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sz val="12"/>
      <color theme="5" tint="-0.499984740745262"/>
      <name val="Calibri (Body)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2F3639"/>
      <name val="Times New Roman"/>
      <family val="1"/>
    </font>
    <font>
      <sz val="12"/>
      <color rgb="FF464D5D"/>
      <name val="Times New Roman"/>
      <family val="1"/>
    </font>
    <font>
      <sz val="12"/>
      <color rgb="FF2F3639"/>
      <name val="Calibri"/>
      <family val="2"/>
      <scheme val="minor"/>
    </font>
    <font>
      <sz val="12"/>
      <color rgb="FF464D5D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202124"/>
      <name val="Calibri"/>
      <family val="2"/>
      <scheme val="minor"/>
    </font>
    <font>
      <sz val="12"/>
      <color rgb="FF212B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4" fillId="0" borderId="0" xfId="0" applyFont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0" borderId="0" xfId="1" applyFont="1"/>
    <xf numFmtId="0" fontId="6" fillId="0" borderId="0" xfId="0" applyFont="1"/>
    <xf numFmtId="0" fontId="0" fillId="0" borderId="4" xfId="0" applyBorder="1"/>
    <xf numFmtId="0" fontId="3" fillId="2" borderId="2" xfId="0" applyFont="1" applyFill="1" applyBorder="1"/>
    <xf numFmtId="0" fontId="3" fillId="2" borderId="3" xfId="0" applyFont="1" applyFill="1" applyBorder="1"/>
    <xf numFmtId="164" fontId="0" fillId="2" borderId="1" xfId="3" applyNumberFormat="1" applyFont="1" applyFill="1" applyBorder="1" applyAlignment="1">
      <alignment horizontal="center"/>
    </xf>
    <xf numFmtId="164" fontId="0" fillId="0" borderId="0" xfId="3" applyNumberFormat="1" applyFont="1" applyAlignment="1">
      <alignment horizontal="center"/>
    </xf>
    <xf numFmtId="164" fontId="0" fillId="3" borderId="1" xfId="3" applyNumberFormat="1" applyFont="1" applyFill="1" applyBorder="1" applyAlignment="1">
      <alignment horizontal="center"/>
    </xf>
    <xf numFmtId="164" fontId="0" fillId="2" borderId="1" xfId="3" applyNumberFormat="1" applyFont="1" applyFill="1" applyBorder="1"/>
    <xf numFmtId="43" fontId="0" fillId="2" borderId="1" xfId="2" applyFont="1" applyFill="1" applyBorder="1"/>
    <xf numFmtId="9" fontId="0" fillId="3" borderId="1" xfId="4" applyFont="1" applyFill="1" applyBorder="1"/>
    <xf numFmtId="9" fontId="0" fillId="0" borderId="0" xfId="4" applyFont="1"/>
    <xf numFmtId="0" fontId="2" fillId="0" borderId="0" xfId="0" applyFont="1"/>
    <xf numFmtId="0" fontId="7" fillId="0" borderId="0" xfId="0" applyFont="1"/>
    <xf numFmtId="0" fontId="0" fillId="3" borderId="0" xfId="0" applyFill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8" fillId="0" borderId="8" xfId="0" applyFont="1" applyBorder="1"/>
    <xf numFmtId="0" fontId="9" fillId="0" borderId="0" xfId="0" applyFont="1"/>
    <xf numFmtId="2" fontId="0" fillId="0" borderId="0" xfId="0" applyNumberFormat="1"/>
    <xf numFmtId="2" fontId="0" fillId="0" borderId="14" xfId="0" applyNumberFormat="1" applyBorder="1"/>
    <xf numFmtId="165" fontId="0" fillId="2" borderId="1" xfId="2" applyNumberFormat="1" applyFont="1" applyFill="1" applyBorder="1"/>
    <xf numFmtId="165" fontId="0" fillId="0" borderId="0" xfId="2" applyNumberFormat="1" applyFont="1" applyBorder="1"/>
    <xf numFmtId="165" fontId="0" fillId="0" borderId="0" xfId="2" applyNumberFormat="1" applyFont="1"/>
    <xf numFmtId="165" fontId="0" fillId="0" borderId="4" xfId="2" applyNumberFormat="1" applyFont="1" applyBorder="1"/>
    <xf numFmtId="165" fontId="0" fillId="0" borderId="0" xfId="0" applyNumberFormat="1"/>
    <xf numFmtId="165" fontId="2" fillId="0" borderId="4" xfId="2" applyNumberFormat="1" applyFont="1" applyBorder="1"/>
    <xf numFmtId="164" fontId="0" fillId="0" borderId="0" xfId="3" applyNumberFormat="1" applyFont="1"/>
    <xf numFmtId="43" fontId="0" fillId="0" borderId="0" xfId="0" applyNumberFormat="1"/>
    <xf numFmtId="0" fontId="0" fillId="0" borderId="0" xfId="0" quotePrefix="1"/>
    <xf numFmtId="165" fontId="0" fillId="3" borderId="1" xfId="2" applyNumberFormat="1" applyFont="1" applyFill="1" applyBorder="1"/>
    <xf numFmtId="165" fontId="2" fillId="0" borderId="5" xfId="2" applyNumberFormat="1" applyFont="1" applyBorder="1"/>
    <xf numFmtId="166" fontId="0" fillId="0" borderId="0" xfId="2" applyNumberFormat="1" applyFont="1"/>
    <xf numFmtId="165" fontId="0" fillId="0" borderId="16" xfId="2" applyNumberFormat="1" applyFont="1" applyBorder="1"/>
    <xf numFmtId="166" fontId="0" fillId="0" borderId="4" xfId="2" applyNumberFormat="1" applyFont="1" applyBorder="1"/>
    <xf numFmtId="165" fontId="0" fillId="0" borderId="1" xfId="2" applyNumberFormat="1" applyFont="1" applyBorder="1"/>
    <xf numFmtId="165" fontId="0" fillId="0" borderId="9" xfId="2" applyNumberFormat="1" applyFont="1" applyBorder="1"/>
    <xf numFmtId="165" fontId="0" fillId="0" borderId="17" xfId="2" applyNumberFormat="1" applyFont="1" applyBorder="1"/>
    <xf numFmtId="164" fontId="0" fillId="3" borderId="1" xfId="3" applyNumberFormat="1" applyFont="1" applyFill="1" applyBorder="1"/>
    <xf numFmtId="167" fontId="0" fillId="0" borderId="0" xfId="0" applyNumberFormat="1"/>
    <xf numFmtId="1" fontId="0" fillId="0" borderId="0" xfId="0" applyNumberFormat="1"/>
    <xf numFmtId="167" fontId="0" fillId="0" borderId="4" xfId="0" applyNumberFormat="1" applyBorder="1"/>
    <xf numFmtId="1" fontId="0" fillId="0" borderId="4" xfId="0" applyNumberFormat="1" applyBorder="1"/>
    <xf numFmtId="166" fontId="0" fillId="0" borderId="0" xfId="0" applyNumberFormat="1"/>
    <xf numFmtId="9" fontId="0" fillId="0" borderId="0" xfId="4" applyFont="1" applyBorder="1"/>
    <xf numFmtId="164" fontId="0" fillId="0" borderId="0" xfId="3" applyNumberFormat="1" applyFont="1" applyBorder="1"/>
    <xf numFmtId="164" fontId="0" fillId="0" borderId="0" xfId="3" applyNumberFormat="1" applyFont="1" applyAlignment="1">
      <alignment horizontal="right"/>
    </xf>
    <xf numFmtId="168" fontId="0" fillId="0" borderId="0" xfId="4" applyNumberFormat="1" applyFont="1" applyBorder="1"/>
    <xf numFmtId="164" fontId="0" fillId="0" borderId="0" xfId="3" applyNumberFormat="1" applyFont="1" applyFill="1"/>
    <xf numFmtId="165" fontId="0" fillId="0" borderId="0" xfId="2" applyNumberFormat="1" applyFont="1" applyFill="1"/>
    <xf numFmtId="165" fontId="0" fillId="0" borderId="4" xfId="2" applyNumberFormat="1" applyFont="1" applyFill="1" applyBorder="1"/>
    <xf numFmtId="165" fontId="2" fillId="0" borderId="4" xfId="2" applyNumberFormat="1" applyFont="1" applyFill="1" applyBorder="1"/>
    <xf numFmtId="165" fontId="2" fillId="0" borderId="5" xfId="2" applyNumberFormat="1" applyFont="1" applyFill="1" applyBorder="1"/>
    <xf numFmtId="0" fontId="0" fillId="0" borderId="0" xfId="0" applyAlignment="1">
      <alignment horizontal="center"/>
    </xf>
    <xf numFmtId="164" fontId="0" fillId="0" borderId="0" xfId="3" applyNumberFormat="1" applyFont="1" applyFill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6" fillId="0" borderId="1" xfId="0" quotePrefix="1" applyFont="1" applyBorder="1"/>
    <xf numFmtId="0" fontId="11" fillId="0" borderId="1" xfId="0" applyFont="1" applyBorder="1" applyAlignment="1">
      <alignment horizontal="center"/>
    </xf>
    <xf numFmtId="9" fontId="11" fillId="0" borderId="1" xfId="4" applyFont="1" applyBorder="1" applyAlignment="1">
      <alignment horizontal="center"/>
    </xf>
    <xf numFmtId="9" fontId="0" fillId="0" borderId="0" xfId="4" applyFont="1" applyAlignment="1">
      <alignment horizontal="center"/>
    </xf>
    <xf numFmtId="165" fontId="6" fillId="0" borderId="0" xfId="2" applyNumberFormat="1" applyFont="1"/>
    <xf numFmtId="165" fontId="0" fillId="0" borderId="4" xfId="0" applyNumberFormat="1" applyBorder="1"/>
    <xf numFmtId="164" fontId="0" fillId="0" borderId="0" xfId="0" applyNumberFormat="1"/>
    <xf numFmtId="0" fontId="0" fillId="4" borderId="0" xfId="0" applyFill="1"/>
    <xf numFmtId="9" fontId="0" fillId="4" borderId="1" xfId="4" applyFont="1" applyFill="1" applyBorder="1" applyAlignment="1">
      <alignment horizontal="center"/>
    </xf>
    <xf numFmtId="6" fontId="12" fillId="0" borderId="0" xfId="0" applyNumberFormat="1" applyFont="1"/>
    <xf numFmtId="6" fontId="13" fillId="0" borderId="0" xfId="0" applyNumberFormat="1" applyFont="1"/>
    <xf numFmtId="6" fontId="14" fillId="0" borderId="0" xfId="0" applyNumberFormat="1" applyFont="1"/>
    <xf numFmtId="6" fontId="0" fillId="0" borderId="0" xfId="0" applyNumberFormat="1"/>
    <xf numFmtId="6" fontId="15" fillId="0" borderId="0" xfId="0" applyNumberFormat="1" applyFont="1"/>
    <xf numFmtId="6" fontId="16" fillId="0" borderId="0" xfId="0" applyNumberFormat="1" applyFont="1"/>
    <xf numFmtId="0" fontId="0" fillId="0" borderId="6" xfId="0" applyBorder="1" applyAlignment="1">
      <alignment horizontal="left"/>
    </xf>
    <xf numFmtId="0" fontId="2" fillId="0" borderId="18" xfId="0" applyFont="1" applyBorder="1"/>
    <xf numFmtId="165" fontId="0" fillId="0" borderId="0" xfId="2" applyNumberFormat="1" applyFont="1" applyFill="1" applyBorder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6" fontId="19" fillId="0" borderId="0" xfId="0" applyNumberFormat="1" applyFont="1"/>
    <xf numFmtId="169" fontId="0" fillId="0" borderId="0" xfId="3" applyNumberFormat="1" applyFont="1"/>
    <xf numFmtId="169" fontId="0" fillId="0" borderId="0" xfId="0" applyNumberFormat="1"/>
    <xf numFmtId="0" fontId="0" fillId="0" borderId="7" xfId="0" applyBorder="1" applyAlignment="1">
      <alignment horizontal="left"/>
    </xf>
    <xf numFmtId="9" fontId="0" fillId="0" borderId="1" xfId="4" applyFont="1" applyBorder="1" applyAlignment="1">
      <alignment horizontal="right"/>
    </xf>
    <xf numFmtId="9" fontId="0" fillId="2" borderId="1" xfId="4" applyFont="1" applyFill="1" applyBorder="1"/>
    <xf numFmtId="9" fontId="0" fillId="3" borderId="1" xfId="4" applyFont="1" applyFill="1" applyBorder="1" applyAlignment="1">
      <alignment horizontal="center"/>
    </xf>
    <xf numFmtId="0" fontId="2" fillId="5" borderId="1" xfId="0" applyFont="1" applyFill="1" applyBorder="1"/>
    <xf numFmtId="0" fontId="6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0" fillId="5" borderId="1" xfId="0" applyFill="1" applyBorder="1"/>
    <xf numFmtId="6" fontId="11" fillId="0" borderId="1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169" fontId="11" fillId="0" borderId="1" xfId="3" applyNumberFormat="1" applyFont="1" applyBorder="1" applyAlignment="1">
      <alignment horizontal="center"/>
    </xf>
    <xf numFmtId="16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169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66" fontId="0" fillId="0" borderId="0" xfId="2" applyNumberFormat="1" applyFont="1" applyAlignment="1">
      <alignment horizontal="right"/>
    </xf>
    <xf numFmtId="165" fontId="0" fillId="0" borderId="0" xfId="2" applyNumberFormat="1" applyFont="1" applyFill="1" applyAlignment="1">
      <alignment horizontal="right"/>
    </xf>
    <xf numFmtId="9" fontId="11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5" fontId="0" fillId="3" borderId="1" xfId="3" applyNumberFormat="1" applyFont="1" applyFill="1" applyBorder="1" applyAlignment="1">
      <alignment horizontal="center"/>
    </xf>
    <xf numFmtId="169" fontId="0" fillId="3" borderId="1" xfId="0" applyNumberFormat="1" applyFill="1" applyBorder="1" applyAlignment="1">
      <alignment horizontal="center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12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9" formatCode="&quot;$&quot;#,##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</xdr:colOff>
      <xdr:row>9</xdr:row>
      <xdr:rowOff>40640</xdr:rowOff>
    </xdr:from>
    <xdr:to>
      <xdr:col>5</xdr:col>
      <xdr:colOff>274320</xdr:colOff>
      <xdr:row>11</xdr:row>
      <xdr:rowOff>193040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3C5DE0A0-2EE2-23CE-0649-B04FF16D6EAF}"/>
            </a:ext>
          </a:extLst>
        </xdr:cNvPr>
        <xdr:cNvSpPr/>
      </xdr:nvSpPr>
      <xdr:spPr>
        <a:xfrm>
          <a:off x="7040880" y="1950720"/>
          <a:ext cx="213360" cy="558800"/>
        </a:xfrm>
        <a:prstGeom prst="rightBrac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1">
            <a:ln w="28575">
              <a:solidFill>
                <a:schemeClr val="bg2">
                  <a:lumMod val="10000"/>
                </a:schemeClr>
              </a:solidFill>
            </a:ln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88D969-B588-094E-A8E7-AB1376F991A5}" name="BasicAssns" displayName="BasicAssns" ref="A10:K66" totalsRowShown="0" headerRowDxfId="11">
  <autoFilter ref="A10:K66" xr:uid="{8788D969-B588-094E-A8E7-AB1376F991A5}"/>
  <tableColumns count="11">
    <tableColumn id="1" xr3:uid="{2ACF79C0-48BB-4643-8ED3-130226D8BA65}" name="Column1" dataDxfId="10" dataCellStyle="Hyperlink"/>
    <tableColumn id="2" xr3:uid="{4E41925F-E409-5E49-A665-9E9B5F5F535F}" name="K-8 Teacher Salary" dataDxfId="9" dataCellStyle="Percent"/>
    <tableColumn id="11" xr3:uid="{25FFE57B-BB0D-0942-B6DE-D90F4CE2DF84}" name="K-12 or 9-12 Teacher Salary" dataDxfId="8"/>
    <tableColumn id="3" xr3:uid="{CCF6EE19-9F61-7946-82CD-2B52829C1D2B}" name="Benefits/ Employment Tax % of Salary" dataDxfId="7" dataCellStyle="Percent"/>
    <tableColumn id="4" xr3:uid="{19117839-E5E9-1B4F-95B1-978F697E3552}" name="COLA " dataDxfId="6"/>
    <tableColumn id="5" xr3:uid="{AECA12B4-F171-FE46-8566-614BCD033762}" name="EE Student/ Teacher Ratio" dataDxfId="5"/>
    <tableColumn id="6" xr3:uid="{E0364576-0069-C047-AA54-EA1AD2F51C81}" name="K-5 Student/ Teacher Ratio" dataDxfId="4"/>
    <tableColumn id="7" xr3:uid="{09112F18-658A-FE40-8E43-58613B6D81E3}" name="MS/HS Student/ Teacher Ratio" dataDxfId="3"/>
    <tableColumn id="10" xr3:uid="{72001743-5ADA-7248-A2AD-DA67730072DB}" name="Federal/Title Funding per Eligible Student" dataDxfId="2"/>
    <tableColumn id="8" xr3:uid="{F957A58F-22B2-5849-AB23-26007102591E}" name="Early Ed State Funding per Eligible Student" dataDxfId="1"/>
    <tableColumn id="9" xr3:uid="{40B181C7-AE1F-2A45-B9FC-3CF6F07603AB}" name="GrK-12 Voucher/Other Funding per Eligible Student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8BF41-1272-5C45-906F-2B36BF89F5F2}">
  <dimension ref="A1:O50"/>
  <sheetViews>
    <sheetView zoomScale="125" zoomScaleNormal="125" workbookViewId="0">
      <selection activeCell="D5" sqref="D5"/>
    </sheetView>
  </sheetViews>
  <sheetFormatPr baseColWidth="10" defaultColWidth="11" defaultRowHeight="16" x14ac:dyDescent="0.2"/>
  <cols>
    <col min="1" max="1" width="16" customWidth="1"/>
    <col min="2" max="2" width="10.83203125" customWidth="1"/>
    <col min="3" max="3" width="10.33203125" customWidth="1"/>
    <col min="4" max="4" width="11.83203125" customWidth="1"/>
    <col min="5" max="5" width="13.5" customWidth="1"/>
    <col min="6" max="6" width="11.83203125" bestFit="1" customWidth="1"/>
    <col min="7" max="7" width="11.6640625" customWidth="1"/>
    <col min="11" max="11" width="11.83203125" customWidth="1"/>
  </cols>
  <sheetData>
    <row r="1" spans="1:15" ht="19" x14ac:dyDescent="0.25">
      <c r="A1" s="22" t="s">
        <v>0</v>
      </c>
    </row>
    <row r="2" spans="1:15" ht="19" x14ac:dyDescent="0.25">
      <c r="A2" s="22" t="s">
        <v>1</v>
      </c>
      <c r="M2" s="44"/>
    </row>
    <row r="3" spans="1:15" x14ac:dyDescent="0.2">
      <c r="M3" s="44"/>
    </row>
    <row r="4" spans="1:15" x14ac:dyDescent="0.2">
      <c r="A4" s="21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5" x14ac:dyDescent="0.2">
      <c r="B5" s="23" t="s">
        <v>4</v>
      </c>
      <c r="C5" s="23"/>
      <c r="D5" s="23"/>
      <c r="E5" s="23"/>
      <c r="F5" s="23"/>
      <c r="G5" s="23"/>
      <c r="H5" s="23"/>
      <c r="M5" s="44"/>
    </row>
    <row r="6" spans="1:15" x14ac:dyDescent="0.2">
      <c r="A6" s="1"/>
      <c r="B6" s="1"/>
      <c r="C6" s="1"/>
      <c r="D6" s="1"/>
      <c r="M6" s="44"/>
    </row>
    <row r="7" spans="1:15" x14ac:dyDescent="0.2">
      <c r="A7" s="6" t="s">
        <v>5</v>
      </c>
      <c r="B7" s="1"/>
      <c r="C7" s="1"/>
      <c r="D7" s="12" t="s">
        <v>6</v>
      </c>
      <c r="E7" s="13"/>
    </row>
    <row r="8" spans="1:15" x14ac:dyDescent="0.2">
      <c r="A8" s="1"/>
      <c r="B8" s="1"/>
      <c r="C8" s="1"/>
      <c r="D8" s="1"/>
    </row>
    <row r="9" spans="1:15" x14ac:dyDescent="0.2">
      <c r="A9" t="s">
        <v>7</v>
      </c>
    </row>
    <row r="10" spans="1:15" ht="93" customHeight="1" x14ac:dyDescent="0.2">
      <c r="B10" s="2" t="s">
        <v>8</v>
      </c>
      <c r="C10" s="2" t="s">
        <v>9</v>
      </c>
      <c r="D10" s="2" t="s">
        <v>10</v>
      </c>
      <c r="E10" s="2" t="s">
        <v>11</v>
      </c>
      <c r="F10" s="3" t="s">
        <v>12</v>
      </c>
      <c r="G10" s="3" t="s">
        <v>13</v>
      </c>
      <c r="H10" s="2" t="s">
        <v>14</v>
      </c>
      <c r="I10" s="2" t="s">
        <v>15</v>
      </c>
      <c r="J10" s="2" t="s">
        <v>16</v>
      </c>
      <c r="K10" s="2" t="s">
        <v>17</v>
      </c>
      <c r="L10" s="2" t="s">
        <v>18</v>
      </c>
    </row>
    <row r="11" spans="1:15" x14ac:dyDescent="0.2">
      <c r="A11" t="s">
        <v>19</v>
      </c>
      <c r="B11" s="5">
        <v>120</v>
      </c>
      <c r="C11" s="5">
        <v>40</v>
      </c>
      <c r="D11" s="5">
        <v>30</v>
      </c>
      <c r="E11" s="5"/>
      <c r="F11" s="14">
        <v>10000</v>
      </c>
      <c r="G11" s="14">
        <v>200</v>
      </c>
      <c r="H11" s="16">
        <f>+F11+G11</f>
        <v>10200</v>
      </c>
      <c r="I11" s="53">
        <f>(VLOOKUP($D$7,BasicAssns[], 9, FALSE))</f>
        <v>270</v>
      </c>
      <c r="J11" s="53">
        <f>(VLOOKUP($D$7,BasicAssns[], 10, FALSE))</f>
        <v>9840</v>
      </c>
      <c r="K11" s="53"/>
      <c r="L11" s="17">
        <v>5000</v>
      </c>
      <c r="N11" s="33" t="s">
        <v>20</v>
      </c>
      <c r="O11" s="33"/>
    </row>
    <row r="12" spans="1:15" x14ac:dyDescent="0.2">
      <c r="A12" t="s">
        <v>21</v>
      </c>
      <c r="B12" s="8">
        <f>+B13/5</f>
        <v>60</v>
      </c>
      <c r="C12" s="8">
        <f>+C13/5</f>
        <v>20</v>
      </c>
      <c r="D12" s="8">
        <f>+D13/5</f>
        <v>0</v>
      </c>
      <c r="E12" s="8">
        <f>+E13/5</f>
        <v>8</v>
      </c>
      <c r="F12" s="16">
        <f>+F13</f>
        <v>7500</v>
      </c>
      <c r="G12" s="16">
        <f>+G13</f>
        <v>200</v>
      </c>
      <c r="H12" s="16">
        <f t="shared" ref="H12" si="0">+H13</f>
        <v>7700</v>
      </c>
      <c r="I12" s="53">
        <f>(VLOOKUP($D$7,BasicAssns[], 9, FALSE))</f>
        <v>270</v>
      </c>
      <c r="J12" s="16"/>
      <c r="K12" s="53">
        <f>(VLOOKUP($D$7,BasicAssns[], 11, FALSE))</f>
        <v>0</v>
      </c>
      <c r="L12" s="17">
        <v>4500</v>
      </c>
      <c r="N12" s="33" t="s">
        <v>22</v>
      </c>
      <c r="O12" s="33"/>
    </row>
    <row r="13" spans="1:15" x14ac:dyDescent="0.2">
      <c r="A13" t="s">
        <v>23</v>
      </c>
      <c r="B13" s="5">
        <v>300</v>
      </c>
      <c r="C13" s="5">
        <v>100</v>
      </c>
      <c r="D13" s="5"/>
      <c r="E13" s="5">
        <v>40</v>
      </c>
      <c r="F13" s="14">
        <v>7500</v>
      </c>
      <c r="G13" s="14">
        <v>200</v>
      </c>
      <c r="H13" s="16">
        <f t="shared" ref="H13:H15" si="1">+F13+G13</f>
        <v>7700</v>
      </c>
      <c r="I13" s="53">
        <f>(VLOOKUP($D$7,BasicAssns[], 9, FALSE))</f>
        <v>270</v>
      </c>
      <c r="J13" s="53"/>
      <c r="K13" s="53">
        <f>(VLOOKUP($D$7,BasicAssns[], 11, FALSE))</f>
        <v>0</v>
      </c>
      <c r="L13" s="17">
        <v>2000</v>
      </c>
    </row>
    <row r="14" spans="1:15" x14ac:dyDescent="0.2">
      <c r="A14" t="s">
        <v>24</v>
      </c>
      <c r="B14" s="5">
        <v>240</v>
      </c>
      <c r="C14" s="5">
        <v>80</v>
      </c>
      <c r="D14" s="5"/>
      <c r="E14" s="5">
        <v>30</v>
      </c>
      <c r="F14" s="14">
        <v>10000</v>
      </c>
      <c r="G14" s="14">
        <v>200</v>
      </c>
      <c r="H14" s="16">
        <f t="shared" si="1"/>
        <v>10200</v>
      </c>
      <c r="I14" s="53">
        <f>(VLOOKUP($D$7,BasicAssns[], 9, FALSE))</f>
        <v>270</v>
      </c>
      <c r="J14" s="53"/>
      <c r="K14" s="53">
        <f>(VLOOKUP($D$7,BasicAssns[], 11, FALSE))</f>
        <v>0</v>
      </c>
      <c r="L14" s="17">
        <v>5000</v>
      </c>
      <c r="N14" s="33" t="s">
        <v>25</v>
      </c>
      <c r="O14" s="33"/>
    </row>
    <row r="15" spans="1:15" x14ac:dyDescent="0.2">
      <c r="A15" t="s">
        <v>26</v>
      </c>
      <c r="B15" s="5">
        <v>400</v>
      </c>
      <c r="C15" s="5">
        <v>150</v>
      </c>
      <c r="D15" s="5"/>
      <c r="E15" s="5">
        <v>50</v>
      </c>
      <c r="F15" s="14">
        <v>13000</v>
      </c>
      <c r="G15" s="14">
        <v>400</v>
      </c>
      <c r="H15" s="16">
        <f t="shared" si="1"/>
        <v>13400</v>
      </c>
      <c r="I15" s="53">
        <f>(VLOOKUP($D$7,BasicAssns[], 9, FALSE))</f>
        <v>270</v>
      </c>
      <c r="J15" s="53"/>
      <c r="K15" s="53">
        <f>(VLOOKUP($D$7,BasicAssns[], 11, FALSE))</f>
        <v>0</v>
      </c>
      <c r="L15" s="17">
        <v>7500</v>
      </c>
      <c r="N15" s="33" t="s">
        <v>27</v>
      </c>
      <c r="O15" s="33"/>
    </row>
    <row r="16" spans="1:15" x14ac:dyDescent="0.2">
      <c r="A16" t="s">
        <v>28</v>
      </c>
      <c r="B16" s="8">
        <f>SUM(B11:B15)</f>
        <v>1120</v>
      </c>
      <c r="C16" s="8">
        <f t="shared" ref="C16:E16" si="2">SUM(C11:C15)</f>
        <v>390</v>
      </c>
      <c r="D16" s="8">
        <f t="shared" si="2"/>
        <v>30</v>
      </c>
      <c r="E16" s="8">
        <f t="shared" si="2"/>
        <v>128</v>
      </c>
      <c r="F16" s="15"/>
    </row>
    <row r="18" spans="1:15" x14ac:dyDescent="0.2">
      <c r="A18" t="s">
        <v>29</v>
      </c>
      <c r="D18" s="17">
        <v>500000</v>
      </c>
      <c r="F18" t="s">
        <v>30</v>
      </c>
    </row>
    <row r="19" spans="1:15" x14ac:dyDescent="0.2">
      <c r="A19" t="s">
        <v>31</v>
      </c>
      <c r="D19" s="17">
        <v>200000</v>
      </c>
      <c r="F19" t="s">
        <v>32</v>
      </c>
    </row>
    <row r="20" spans="1:15" x14ac:dyDescent="0.2">
      <c r="A20" t="s">
        <v>33</v>
      </c>
      <c r="D20" s="18">
        <v>0.25</v>
      </c>
      <c r="F20" t="s">
        <v>34</v>
      </c>
    </row>
    <row r="21" spans="1:15" x14ac:dyDescent="0.2">
      <c r="A21" t="s">
        <v>35</v>
      </c>
      <c r="D21" s="17">
        <v>75000</v>
      </c>
      <c r="F21" t="s">
        <v>36</v>
      </c>
    </row>
    <row r="22" spans="1:15" x14ac:dyDescent="0.2">
      <c r="A22" t="s">
        <v>37</v>
      </c>
      <c r="D22" s="17">
        <v>300000</v>
      </c>
      <c r="F22" t="s">
        <v>38</v>
      </c>
    </row>
    <row r="23" spans="1:15" x14ac:dyDescent="0.2">
      <c r="A23" t="s">
        <v>39</v>
      </c>
      <c r="D23" s="17">
        <v>50000</v>
      </c>
      <c r="F23" t="s">
        <v>40</v>
      </c>
    </row>
    <row r="24" spans="1:15" x14ac:dyDescent="0.2">
      <c r="A24" t="s">
        <v>41</v>
      </c>
      <c r="D24" s="17">
        <v>1000</v>
      </c>
      <c r="F24" t="s">
        <v>42</v>
      </c>
    </row>
    <row r="25" spans="1:15" x14ac:dyDescent="0.2">
      <c r="A25" t="s">
        <v>43</v>
      </c>
      <c r="D25" s="17">
        <v>300000</v>
      </c>
      <c r="F25" t="s">
        <v>44</v>
      </c>
    </row>
    <row r="27" spans="1:15" x14ac:dyDescent="0.2">
      <c r="A27" t="s">
        <v>45</v>
      </c>
      <c r="D27" s="97">
        <v>0.03</v>
      </c>
      <c r="F27" t="s">
        <v>46</v>
      </c>
    </row>
    <row r="28" spans="1:15" x14ac:dyDescent="0.2">
      <c r="A28" t="s">
        <v>47</v>
      </c>
      <c r="D28" s="97">
        <v>0.02</v>
      </c>
      <c r="F28" t="s">
        <v>48</v>
      </c>
    </row>
    <row r="29" spans="1:15" x14ac:dyDescent="0.2">
      <c r="A29" t="s">
        <v>49</v>
      </c>
      <c r="D29" s="96" t="s">
        <v>50</v>
      </c>
      <c r="F29" t="s">
        <v>51</v>
      </c>
      <c r="O29" s="79"/>
    </row>
    <row r="31" spans="1:15" x14ac:dyDescent="0.2">
      <c r="A31" s="1" t="s">
        <v>52</v>
      </c>
    </row>
    <row r="32" spans="1:15" x14ac:dyDescent="0.2">
      <c r="A32" t="s">
        <v>53</v>
      </c>
      <c r="E32" s="53">
        <f>IF(B15&gt;0, VLOOKUP(D$7,BasicAssns[],3,FALSE), VLOOKUP(D$7,BasicAssns[], 2, FALSE))</f>
        <v>51331</v>
      </c>
    </row>
    <row r="33" spans="1:6" x14ac:dyDescent="0.2">
      <c r="A33" t="s">
        <v>54</v>
      </c>
      <c r="E33" s="19">
        <f>VLOOKUP(D$7,BasicAssns[], 4, FALSE)</f>
        <v>0.25</v>
      </c>
    </row>
    <row r="35" spans="1:6" x14ac:dyDescent="0.2">
      <c r="A35" t="s">
        <v>55</v>
      </c>
      <c r="E35" s="7">
        <f>VLOOKUP(D$7,BasicAssns[], 5, FALSE)</f>
        <v>130.19999999999999</v>
      </c>
    </row>
    <row r="37" spans="1:6" x14ac:dyDescent="0.2">
      <c r="A37" t="s">
        <v>56</v>
      </c>
      <c r="E37" s="7">
        <f>VLOOKUP(D$7,BasicAssns[], 6, FALSE)</f>
        <v>10</v>
      </c>
    </row>
    <row r="38" spans="1:6" x14ac:dyDescent="0.2">
      <c r="A38" t="s">
        <v>57</v>
      </c>
      <c r="E38" s="7">
        <f>VLOOKUP(D$7,BasicAssns[], 7, FALSE)</f>
        <v>15</v>
      </c>
    </row>
    <row r="39" spans="1:6" x14ac:dyDescent="0.2">
      <c r="A39" t="s">
        <v>58</v>
      </c>
      <c r="E39" s="7">
        <f>VLOOKUP(D$7,BasicAssns[], 8, FALSE)</f>
        <v>15</v>
      </c>
    </row>
    <row r="41" spans="1:6" x14ac:dyDescent="0.2">
      <c r="A41" t="s">
        <v>59</v>
      </c>
      <c r="E41" s="53">
        <f>(VLOOKUP(D$7,BasicAssns[], 5, FALSE)*'Assumptions by State'!B5)/100</f>
        <v>846.29999999999984</v>
      </c>
    </row>
    <row r="42" spans="1:6" x14ac:dyDescent="0.2">
      <c r="A42" t="s">
        <v>60</v>
      </c>
      <c r="E42" s="53">
        <f>(VLOOKUP(D$7,BasicAssns[], 5, FALSE)*'Assumptions by State'!B6)/100</f>
        <v>846.29999999999984</v>
      </c>
    </row>
    <row r="43" spans="1:6" x14ac:dyDescent="0.2">
      <c r="A43" t="s">
        <v>61</v>
      </c>
      <c r="E43" s="53">
        <f>(VLOOKUP(D$7,BasicAssns[], 5, FALSE)*'Assumptions by State'!B7)/100</f>
        <v>5207.9999999999991</v>
      </c>
    </row>
    <row r="44" spans="1:6" x14ac:dyDescent="0.2">
      <c r="E44" s="42"/>
    </row>
    <row r="45" spans="1:6" x14ac:dyDescent="0.2">
      <c r="A45" t="s">
        <v>62</v>
      </c>
      <c r="E45" s="17">
        <v>10000000</v>
      </c>
      <c r="F45" t="s">
        <v>63</v>
      </c>
    </row>
    <row r="46" spans="1:6" x14ac:dyDescent="0.2">
      <c r="A46" t="s">
        <v>64</v>
      </c>
      <c r="E46" s="17">
        <v>2000000</v>
      </c>
      <c r="F46" t="s">
        <v>65</v>
      </c>
    </row>
    <row r="47" spans="1:6" x14ac:dyDescent="0.2">
      <c r="E47" s="42"/>
    </row>
    <row r="48" spans="1:6" x14ac:dyDescent="0.2">
      <c r="A48" s="88" t="s">
        <v>66</v>
      </c>
    </row>
    <row r="49" spans="1:1" x14ac:dyDescent="0.2">
      <c r="A49" t="s">
        <v>67</v>
      </c>
    </row>
    <row r="50" spans="1:1" x14ac:dyDescent="0.2">
      <c r="A50" t="s">
        <v>68</v>
      </c>
    </row>
  </sheetData>
  <pageMargins left="0.7" right="0.7" top="0.75" bottom="0.75" header="0.3" footer="0.3"/>
  <ignoredErrors>
    <ignoredError sqref="H12" 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9B6F7C8A-C4AA-FC42-8AF2-178CBACB32AE}">
          <x14:formula1>
            <xm:f>'Assumptions by State'!$A$11:$A$66</xm:f>
          </x14:formula1>
          <xm:sqref>D7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66CBF-5ACA-4346-97FD-094D13A3827D}">
  <dimension ref="A1:F75"/>
  <sheetViews>
    <sheetView topLeftCell="A15" zoomScale="125" workbookViewId="0">
      <selection activeCell="B19" sqref="B19"/>
    </sheetView>
  </sheetViews>
  <sheetFormatPr baseColWidth="10" defaultColWidth="11" defaultRowHeight="16" x14ac:dyDescent="0.2"/>
  <cols>
    <col min="1" max="1" width="48.1640625" customWidth="1"/>
    <col min="2" max="2" width="12.5" customWidth="1"/>
    <col min="3" max="3" width="12" customWidth="1"/>
    <col min="4" max="4" width="12.6640625" customWidth="1"/>
    <col min="5" max="5" width="13" customWidth="1"/>
    <col min="6" max="6" width="5" customWidth="1"/>
  </cols>
  <sheetData>
    <row r="1" spans="1:5" ht="19" x14ac:dyDescent="0.25">
      <c r="A1" s="22" t="s">
        <v>159</v>
      </c>
    </row>
    <row r="2" spans="1:5" ht="19" x14ac:dyDescent="0.25">
      <c r="A2" s="22" t="s">
        <v>0</v>
      </c>
    </row>
    <row r="4" spans="1:5" x14ac:dyDescent="0.2">
      <c r="A4" t="s">
        <v>401</v>
      </c>
    </row>
    <row r="5" spans="1:5" x14ac:dyDescent="0.2">
      <c r="A5" t="s">
        <v>402</v>
      </c>
    </row>
    <row r="6" spans="1:5" x14ac:dyDescent="0.2">
      <c r="A6" t="s">
        <v>403</v>
      </c>
    </row>
    <row r="7" spans="1:5" x14ac:dyDescent="0.2">
      <c r="A7" t="s">
        <v>404</v>
      </c>
    </row>
    <row r="9" spans="1:5" x14ac:dyDescent="0.2">
      <c r="B9" s="3" t="s">
        <v>192</v>
      </c>
      <c r="C9" s="3" t="s">
        <v>214</v>
      </c>
      <c r="D9" s="3" t="s">
        <v>215</v>
      </c>
      <c r="E9" s="3" t="s">
        <v>216</v>
      </c>
    </row>
    <row r="11" spans="1:5" x14ac:dyDescent="0.2">
      <c r="A11" t="s">
        <v>218</v>
      </c>
      <c r="B11" s="42">
        <v>8500</v>
      </c>
      <c r="C11" s="42">
        <v>8700</v>
      </c>
      <c r="D11" s="42">
        <v>8900</v>
      </c>
      <c r="E11" s="42">
        <v>9100</v>
      </c>
    </row>
    <row r="12" spans="1:5" x14ac:dyDescent="0.2">
      <c r="A12" t="s">
        <v>220</v>
      </c>
      <c r="B12" s="42">
        <v>8500</v>
      </c>
      <c r="C12" s="42">
        <v>8700</v>
      </c>
      <c r="D12" s="42">
        <v>8900</v>
      </c>
      <c r="E12" s="42">
        <v>9100</v>
      </c>
    </row>
    <row r="13" spans="1:5" x14ac:dyDescent="0.2">
      <c r="A13" t="s">
        <v>221</v>
      </c>
      <c r="B13" s="42">
        <v>8500</v>
      </c>
      <c r="C13" s="42">
        <v>8700</v>
      </c>
      <c r="D13" s="42">
        <v>8900</v>
      </c>
      <c r="E13" s="42">
        <v>9100</v>
      </c>
    </row>
    <row r="14" spans="1:5" x14ac:dyDescent="0.2">
      <c r="A14" t="s">
        <v>222</v>
      </c>
      <c r="B14" s="61" t="s">
        <v>180</v>
      </c>
      <c r="C14" s="61" t="s">
        <v>180</v>
      </c>
      <c r="D14" s="61" t="s">
        <v>180</v>
      </c>
      <c r="E14" s="61" t="s">
        <v>180</v>
      </c>
    </row>
    <row r="16" spans="1:5" x14ac:dyDescent="0.2">
      <c r="A16" t="s">
        <v>223</v>
      </c>
      <c r="B16" s="38">
        <v>60</v>
      </c>
      <c r="C16" s="38">
        <v>60</v>
      </c>
      <c r="D16" s="38">
        <v>60</v>
      </c>
      <c r="E16" s="38">
        <v>60</v>
      </c>
    </row>
    <row r="17" spans="1:6" x14ac:dyDescent="0.2">
      <c r="A17" t="s">
        <v>224</v>
      </c>
      <c r="B17" s="38">
        <v>339</v>
      </c>
      <c r="C17" s="38">
        <v>339</v>
      </c>
      <c r="D17" s="38">
        <v>339</v>
      </c>
      <c r="E17" s="38">
        <v>339</v>
      </c>
    </row>
    <row r="18" spans="1:6" x14ac:dyDescent="0.2">
      <c r="A18" t="s">
        <v>225</v>
      </c>
      <c r="B18" s="38">
        <v>177</v>
      </c>
      <c r="C18" s="38">
        <v>177</v>
      </c>
      <c r="D18" s="38">
        <v>177</v>
      </c>
      <c r="E18" s="38">
        <v>177</v>
      </c>
    </row>
    <row r="19" spans="1:6" x14ac:dyDescent="0.2">
      <c r="A19" t="s">
        <v>226</v>
      </c>
      <c r="B19" s="38">
        <v>0</v>
      </c>
      <c r="C19" s="38">
        <v>0</v>
      </c>
      <c r="D19" s="38">
        <v>0</v>
      </c>
      <c r="E19" s="38">
        <v>0</v>
      </c>
    </row>
    <row r="20" spans="1:6" x14ac:dyDescent="0.2">
      <c r="A20" t="s">
        <v>227</v>
      </c>
      <c r="B20" s="39">
        <f>SUM(B16:B19)</f>
        <v>576</v>
      </c>
      <c r="C20" s="39">
        <f t="shared" ref="C20:E20" si="0">SUM(C16:C19)</f>
        <v>576</v>
      </c>
      <c r="D20" s="39">
        <f t="shared" si="0"/>
        <v>576</v>
      </c>
      <c r="E20" s="39">
        <f t="shared" si="0"/>
        <v>576</v>
      </c>
    </row>
    <row r="21" spans="1:6" x14ac:dyDescent="0.2">
      <c r="B21" s="89"/>
    </row>
    <row r="22" spans="1:6" x14ac:dyDescent="0.2">
      <c r="A22" t="s">
        <v>231</v>
      </c>
      <c r="B22" s="47">
        <v>7</v>
      </c>
      <c r="C22" s="47">
        <v>7</v>
      </c>
      <c r="D22" s="47">
        <v>7</v>
      </c>
      <c r="E22" s="47">
        <v>7</v>
      </c>
    </row>
    <row r="23" spans="1:6" x14ac:dyDescent="0.2">
      <c r="A23" t="s">
        <v>232</v>
      </c>
      <c r="B23" s="47">
        <v>26.7</v>
      </c>
      <c r="C23" s="47">
        <v>26.7</v>
      </c>
      <c r="D23" s="47">
        <v>26.7</v>
      </c>
      <c r="E23" s="47">
        <v>26.7</v>
      </c>
    </row>
    <row r="24" spans="1:6" x14ac:dyDescent="0.2">
      <c r="A24" t="s">
        <v>233</v>
      </c>
      <c r="B24" s="47">
        <v>18.7</v>
      </c>
      <c r="C24" s="47">
        <v>18.7</v>
      </c>
      <c r="D24" s="47">
        <v>18.7</v>
      </c>
      <c r="E24" s="47">
        <v>18.7</v>
      </c>
    </row>
    <row r="25" spans="1:6" x14ac:dyDescent="0.2">
      <c r="A25" t="s">
        <v>234</v>
      </c>
      <c r="B25" s="115" t="s">
        <v>180</v>
      </c>
      <c r="C25" s="115" t="s">
        <v>180</v>
      </c>
      <c r="D25" s="115" t="s">
        <v>180</v>
      </c>
      <c r="E25" s="115" t="s">
        <v>180</v>
      </c>
    </row>
    <row r="26" spans="1:6" x14ac:dyDescent="0.2">
      <c r="B26" s="49">
        <f>SUM(B22:B25)</f>
        <v>52.400000000000006</v>
      </c>
      <c r="C26" s="49">
        <f t="shared" ref="C26:E26" si="1">SUM(C22:C25)</f>
        <v>52.400000000000006</v>
      </c>
      <c r="D26" s="49">
        <f t="shared" si="1"/>
        <v>52.400000000000006</v>
      </c>
      <c r="E26" s="49">
        <f t="shared" si="1"/>
        <v>52.400000000000006</v>
      </c>
    </row>
    <row r="27" spans="1:6" x14ac:dyDescent="0.2">
      <c r="A27" t="s">
        <v>53</v>
      </c>
      <c r="B27" s="60">
        <f>+B61/B26</f>
        <v>42181.030534351143</v>
      </c>
      <c r="C27" s="60">
        <f>+C61/C26</f>
        <v>43024.651145038166</v>
      </c>
      <c r="D27" s="60">
        <f>+D61/D26</f>
        <v>43885.144167938932</v>
      </c>
      <c r="E27" s="60">
        <f>+E61/E26</f>
        <v>44762.847051297715</v>
      </c>
      <c r="F27" t="s">
        <v>379</v>
      </c>
    </row>
    <row r="28" spans="1:6" x14ac:dyDescent="0.2">
      <c r="A28" t="s">
        <v>54</v>
      </c>
      <c r="B28" s="62">
        <f>+B64/(SUM(B61:B63))</f>
        <v>0.34898227889823752</v>
      </c>
      <c r="C28" s="62">
        <f t="shared" ref="C28:E28" si="2">+C64/(SUM(C61:C63))</f>
        <v>0.34935567029524839</v>
      </c>
      <c r="D28" s="62">
        <f t="shared" si="2"/>
        <v>0.35020073108703526</v>
      </c>
      <c r="E28" s="62">
        <f t="shared" si="2"/>
        <v>0.35067161169404026</v>
      </c>
    </row>
    <row r="29" spans="1:6" x14ac:dyDescent="0.2">
      <c r="B29" s="55"/>
    </row>
    <row r="30" spans="1:6" x14ac:dyDescent="0.2">
      <c r="A30" t="s">
        <v>33</v>
      </c>
      <c r="B30" s="43">
        <f>+B31/B26</f>
        <v>0.26145038167938928</v>
      </c>
      <c r="C30" s="43">
        <f t="shared" ref="C30:E30" si="3">+C31/C26</f>
        <v>0.26145038167938928</v>
      </c>
      <c r="D30" s="43">
        <f t="shared" si="3"/>
        <v>0.2576335877862595</v>
      </c>
      <c r="E30" s="43">
        <f t="shared" si="3"/>
        <v>0.2576335877862595</v>
      </c>
    </row>
    <row r="31" spans="1:6" x14ac:dyDescent="0.2">
      <c r="A31" t="s">
        <v>235</v>
      </c>
      <c r="B31" s="58">
        <v>13.7</v>
      </c>
      <c r="C31" s="58">
        <v>13.7</v>
      </c>
      <c r="D31" s="58">
        <v>13.5</v>
      </c>
      <c r="E31" s="58">
        <v>13.5</v>
      </c>
    </row>
    <row r="32" spans="1:6" x14ac:dyDescent="0.2">
      <c r="A32" t="s">
        <v>35</v>
      </c>
      <c r="B32" s="42">
        <f>+B62/B31</f>
        <v>51882.116788321167</v>
      </c>
      <c r="C32" s="42">
        <f>+C62/C31</f>
        <v>52919.759124087599</v>
      </c>
      <c r="D32" s="42">
        <f>+D62/D31</f>
        <v>54404.370370370372</v>
      </c>
      <c r="E32" s="42">
        <f>+E62/E31</f>
        <v>55492.457777777781</v>
      </c>
    </row>
    <row r="33" spans="1:6" x14ac:dyDescent="0.2">
      <c r="A33" t="s">
        <v>365</v>
      </c>
      <c r="B33" s="63"/>
      <c r="C33" s="63"/>
      <c r="D33" s="63"/>
      <c r="E33" s="63"/>
      <c r="F33" t="s">
        <v>366</v>
      </c>
    </row>
    <row r="35" spans="1:6" x14ac:dyDescent="0.2">
      <c r="A35" t="s">
        <v>59</v>
      </c>
      <c r="B35" s="42">
        <f>+B67/B20</f>
        <v>1246.5790461505289</v>
      </c>
      <c r="C35" s="42">
        <f>+C67/C20</f>
        <v>1265.2777318427868</v>
      </c>
      <c r="D35" s="42">
        <f>+D67/D20</f>
        <v>1283.771892042028</v>
      </c>
      <c r="E35" s="42">
        <f>+E67/E20</f>
        <v>1303.0284704226581</v>
      </c>
    </row>
    <row r="36" spans="1:6" x14ac:dyDescent="0.2">
      <c r="A36" t="s">
        <v>60</v>
      </c>
      <c r="B36" s="42">
        <f>+B35</f>
        <v>1246.5790461505289</v>
      </c>
      <c r="C36" s="42">
        <f t="shared" ref="C36:E36" si="4">+C35</f>
        <v>1265.2777318427868</v>
      </c>
      <c r="D36" s="42">
        <f t="shared" si="4"/>
        <v>1283.771892042028</v>
      </c>
      <c r="E36" s="42">
        <f t="shared" si="4"/>
        <v>1303.0284704226581</v>
      </c>
    </row>
    <row r="37" spans="1:6" x14ac:dyDescent="0.2">
      <c r="A37" t="s">
        <v>61</v>
      </c>
      <c r="B37" s="63">
        <v>0</v>
      </c>
      <c r="C37" s="63">
        <v>0</v>
      </c>
      <c r="D37" s="63">
        <v>0</v>
      </c>
      <c r="E37" s="63">
        <v>0</v>
      </c>
    </row>
    <row r="38" spans="1:6" x14ac:dyDescent="0.2">
      <c r="B38" s="63"/>
      <c r="C38" s="63"/>
      <c r="D38" s="63"/>
      <c r="E38" s="63"/>
    </row>
    <row r="39" spans="1:6" x14ac:dyDescent="0.2">
      <c r="A39" t="s">
        <v>367</v>
      </c>
      <c r="B39" s="63">
        <f>-B52/B20</f>
        <v>6934.4357638888887</v>
      </c>
      <c r="C39" s="63">
        <f t="shared" ref="C39:E39" si="5">-C52/C20</f>
        <v>7097.598958333333</v>
      </c>
      <c r="D39" s="63">
        <f t="shared" si="5"/>
        <v>7260.7621527777774</v>
      </c>
      <c r="E39" s="63">
        <f t="shared" si="5"/>
        <v>7423.9253472222226</v>
      </c>
    </row>
    <row r="40" spans="1:6" x14ac:dyDescent="0.2">
      <c r="A40" t="s">
        <v>368</v>
      </c>
      <c r="B40" s="63">
        <v>0</v>
      </c>
      <c r="C40" s="63">
        <v>0</v>
      </c>
      <c r="D40" s="63">
        <v>0</v>
      </c>
      <c r="E40" s="63">
        <v>0</v>
      </c>
    </row>
    <row r="41" spans="1:6" x14ac:dyDescent="0.2">
      <c r="A41" t="s">
        <v>369</v>
      </c>
      <c r="B41" s="63">
        <f>-B53/58</f>
        <v>12714.603448275862</v>
      </c>
      <c r="C41" s="63">
        <f t="shared" ref="C41:D41" si="6">-C53/58</f>
        <v>12714.603448275862</v>
      </c>
      <c r="D41" s="63">
        <f t="shared" si="6"/>
        <v>12714.603448275862</v>
      </c>
      <c r="E41" s="63">
        <f>-E53/58</f>
        <v>12841.758620689656</v>
      </c>
      <c r="F41" t="s">
        <v>405</v>
      </c>
    </row>
    <row r="42" spans="1:6" x14ac:dyDescent="0.2">
      <c r="B42" s="63"/>
      <c r="C42" s="63"/>
      <c r="D42" s="63"/>
      <c r="E42" s="63"/>
    </row>
    <row r="43" spans="1:6" x14ac:dyDescent="0.2">
      <c r="A43" t="s">
        <v>370</v>
      </c>
      <c r="B43" s="69" t="s">
        <v>189</v>
      </c>
      <c r="C43" s="69" t="s">
        <v>189</v>
      </c>
      <c r="D43" s="69" t="s">
        <v>189</v>
      </c>
      <c r="E43" s="69" t="s">
        <v>189</v>
      </c>
    </row>
    <row r="45" spans="1:6" x14ac:dyDescent="0.2">
      <c r="B45" s="3" t="s">
        <v>192</v>
      </c>
      <c r="C45" s="3" t="s">
        <v>214</v>
      </c>
      <c r="D45" s="3" t="s">
        <v>215</v>
      </c>
      <c r="E45" s="3" t="s">
        <v>216</v>
      </c>
    </row>
    <row r="46" spans="1:6" x14ac:dyDescent="0.2">
      <c r="A46" t="s">
        <v>236</v>
      </c>
      <c r="B46" s="64">
        <f>+(731000/2)+(62643/2)</f>
        <v>396821.5</v>
      </c>
      <c r="C46" s="64">
        <f>+(748200/2)+(62643/2)</f>
        <v>405421.5</v>
      </c>
      <c r="D46" s="64">
        <f>+(765400/2)+(62643/2)</f>
        <v>414021.5</v>
      </c>
      <c r="E46" s="64">
        <f>+(782600/2)+(63270/2)</f>
        <v>422935</v>
      </c>
    </row>
    <row r="47" spans="1:6" x14ac:dyDescent="0.2">
      <c r="A47" t="s">
        <v>380</v>
      </c>
      <c r="B47" s="64">
        <f>+B46+1615000+389310</f>
        <v>2401131.5</v>
      </c>
      <c r="C47" s="64">
        <f>+C46+1653000+389310</f>
        <v>2447731.5</v>
      </c>
      <c r="D47" s="64">
        <f>+D46+1691000+389310</f>
        <v>2494331.5</v>
      </c>
      <c r="E47" s="64">
        <f>+E46+1729000+393203</f>
        <v>2545138</v>
      </c>
    </row>
    <row r="48" spans="1:6" x14ac:dyDescent="0.2">
      <c r="A48" t="s">
        <v>381</v>
      </c>
      <c r="B48" s="64">
        <f>285494+1819000</f>
        <v>2104494</v>
      </c>
      <c r="C48" s="64">
        <f>1861800+285494</f>
        <v>2147294</v>
      </c>
      <c r="D48" s="64">
        <f>1904600+285494</f>
        <v>2190094</v>
      </c>
      <c r="E48" s="64">
        <f>1947400+288349</f>
        <v>2235749</v>
      </c>
    </row>
    <row r="49" spans="1:6" x14ac:dyDescent="0.2">
      <c r="A49" t="s">
        <v>239</v>
      </c>
      <c r="B49" s="116" t="s">
        <v>180</v>
      </c>
      <c r="C49" s="116" t="s">
        <v>180</v>
      </c>
      <c r="D49" s="116" t="s">
        <v>180</v>
      </c>
      <c r="E49" s="116" t="s">
        <v>180</v>
      </c>
    </row>
    <row r="50" spans="1:6" x14ac:dyDescent="0.2">
      <c r="A50" t="s">
        <v>240</v>
      </c>
      <c r="B50" s="65">
        <f>SUM(B46:B49)</f>
        <v>4902447</v>
      </c>
      <c r="C50" s="65">
        <f t="shared" ref="C50:E50" si="7">SUM(C46:C49)</f>
        <v>5000447</v>
      </c>
      <c r="D50" s="65">
        <f t="shared" si="7"/>
        <v>5098447</v>
      </c>
      <c r="E50" s="65">
        <f t="shared" si="7"/>
        <v>5203822</v>
      </c>
      <c r="F50" t="s">
        <v>406</v>
      </c>
    </row>
    <row r="51" spans="1:6" x14ac:dyDescent="0.2">
      <c r="A51" t="s">
        <v>241</v>
      </c>
      <c r="B51" s="64">
        <v>-170765</v>
      </c>
      <c r="C51" s="64">
        <v>-174783</v>
      </c>
      <c r="D51" s="64">
        <v>-178801</v>
      </c>
      <c r="E51" s="64">
        <v>-182819</v>
      </c>
      <c r="F51" t="s">
        <v>407</v>
      </c>
    </row>
    <row r="52" spans="1:6" x14ac:dyDescent="0.2">
      <c r="A52" t="s">
        <v>394</v>
      </c>
      <c r="B52" s="64">
        <v>-3994235</v>
      </c>
      <c r="C52" s="64">
        <v>-4088217</v>
      </c>
      <c r="D52" s="64">
        <v>-4182199</v>
      </c>
      <c r="E52" s="64">
        <v>-4276181</v>
      </c>
    </row>
    <row r="53" spans="1:6" x14ac:dyDescent="0.2">
      <c r="A53" t="s">
        <v>395</v>
      </c>
      <c r="B53" s="64">
        <v>-737447</v>
      </c>
      <c r="C53" s="64">
        <v>-737447</v>
      </c>
      <c r="D53" s="64">
        <v>-737447</v>
      </c>
      <c r="E53" s="64">
        <v>-744822</v>
      </c>
      <c r="F53" t="s">
        <v>408</v>
      </c>
    </row>
    <row r="54" spans="1:6" x14ac:dyDescent="0.2">
      <c r="A54" t="s">
        <v>373</v>
      </c>
      <c r="B54" s="65">
        <f>SUM(B50:B53)</f>
        <v>0</v>
      </c>
      <c r="C54" s="65">
        <f>SUM(C50:C53)</f>
        <v>0</v>
      </c>
      <c r="D54" s="65">
        <f>SUM(D50:D53)</f>
        <v>0</v>
      </c>
      <c r="E54" s="65">
        <f>SUM(E50:E53)</f>
        <v>0</v>
      </c>
    </row>
    <row r="56" spans="1:6" x14ac:dyDescent="0.2">
      <c r="A56" t="s">
        <v>397</v>
      </c>
      <c r="B56" s="64">
        <f>-B52-B53</f>
        <v>4731682</v>
      </c>
      <c r="C56" s="64">
        <f>-C52-C53</f>
        <v>4825664</v>
      </c>
      <c r="D56" s="64">
        <f>-D52-D53</f>
        <v>4919646</v>
      </c>
      <c r="E56" s="64">
        <f>-E52-E53</f>
        <v>5021003</v>
      </c>
    </row>
    <row r="57" spans="1:6" x14ac:dyDescent="0.2">
      <c r="A57" t="s">
        <v>29</v>
      </c>
      <c r="B57" s="64">
        <v>1489871.4401952806</v>
      </c>
      <c r="C57" s="64">
        <v>1547626.1682242991</v>
      </c>
      <c r="D57" s="64">
        <v>1596524.1995532389</v>
      </c>
      <c r="E57" s="64">
        <v>1653611.3552068474</v>
      </c>
      <c r="F57" t="s">
        <v>398</v>
      </c>
    </row>
    <row r="58" spans="1:6" x14ac:dyDescent="0.2">
      <c r="A58" t="s">
        <v>31</v>
      </c>
      <c r="B58" s="64">
        <v>9728.1374220273719</v>
      </c>
      <c r="C58" s="64">
        <v>9771.7112071972097</v>
      </c>
      <c r="D58" s="64">
        <v>9814.6609007085863</v>
      </c>
      <c r="E58" s="64">
        <v>9865.7888092456178</v>
      </c>
      <c r="F58" t="s">
        <v>399</v>
      </c>
    </row>
    <row r="59" spans="1:6" x14ac:dyDescent="0.2">
      <c r="A59" s="21" t="s">
        <v>248</v>
      </c>
      <c r="B59" s="66">
        <f>SUM(B54:B58)</f>
        <v>6231281.5776173081</v>
      </c>
      <c r="C59" s="66">
        <f t="shared" ref="C59:E59" si="8">SUM(C54:C58)</f>
        <v>6383061.8794314964</v>
      </c>
      <c r="D59" s="66">
        <f t="shared" si="8"/>
        <v>6525984.8604539474</v>
      </c>
      <c r="E59" s="66">
        <f t="shared" si="8"/>
        <v>6684480.1440160926</v>
      </c>
    </row>
    <row r="61" spans="1:6" x14ac:dyDescent="0.2">
      <c r="A61" t="s">
        <v>249</v>
      </c>
      <c r="B61" s="64">
        <v>2210286</v>
      </c>
      <c r="C61" s="64">
        <v>2254491.7200000002</v>
      </c>
      <c r="D61" s="64">
        <v>2299581.5544000003</v>
      </c>
      <c r="E61" s="64">
        <v>2345573.1854880005</v>
      </c>
    </row>
    <row r="62" spans="1:6" x14ac:dyDescent="0.2">
      <c r="A62" t="s">
        <v>250</v>
      </c>
      <c r="B62" s="64">
        <v>710785</v>
      </c>
      <c r="C62" s="64">
        <v>725000.70000000007</v>
      </c>
      <c r="D62" s="64">
        <v>734459</v>
      </c>
      <c r="E62" s="64">
        <v>749148.18</v>
      </c>
    </row>
    <row r="63" spans="1:6" x14ac:dyDescent="0.2">
      <c r="A63" t="s">
        <v>375</v>
      </c>
      <c r="B63" s="64">
        <v>193397</v>
      </c>
      <c r="C63" s="64">
        <v>197264.94</v>
      </c>
      <c r="D63" s="64">
        <v>201210.23879999999</v>
      </c>
      <c r="E63" s="64">
        <v>205234.44357599999</v>
      </c>
    </row>
    <row r="64" spans="1:6" x14ac:dyDescent="0.2">
      <c r="A64" t="s">
        <v>251</v>
      </c>
      <c r="B64" s="64">
        <v>1086894.1401956361</v>
      </c>
      <c r="C64" s="64">
        <v>1109818.1968681638</v>
      </c>
      <c r="D64" s="64">
        <v>1132987.1930285508</v>
      </c>
      <c r="E64" s="64">
        <v>1157200.8220835838</v>
      </c>
    </row>
    <row r="65" spans="1:6" x14ac:dyDescent="0.2">
      <c r="A65" t="s">
        <v>252</v>
      </c>
      <c r="B65" s="65">
        <f>SUM(B61:B64)</f>
        <v>4201362.1401956361</v>
      </c>
      <c r="C65" s="65">
        <f t="shared" ref="C65:E65" si="9">SUM(C61:C64)</f>
        <v>4286575.5568681639</v>
      </c>
      <c r="D65" s="65">
        <f t="shared" si="9"/>
        <v>4368237.9862285508</v>
      </c>
      <c r="E65" s="65">
        <f t="shared" si="9"/>
        <v>4457156.6311475849</v>
      </c>
    </row>
    <row r="66" spans="1:6" x14ac:dyDescent="0.2">
      <c r="B66" s="64"/>
    </row>
    <row r="67" spans="1:6" x14ac:dyDescent="0.2">
      <c r="A67" t="s">
        <v>253</v>
      </c>
      <c r="B67" s="64">
        <v>718029.5305827047</v>
      </c>
      <c r="C67" s="64">
        <v>728799.97354144522</v>
      </c>
      <c r="D67" s="64">
        <v>739452.60981620813</v>
      </c>
      <c r="E67" s="64">
        <v>750544.39896345104</v>
      </c>
    </row>
    <row r="68" spans="1:6" x14ac:dyDescent="0.2">
      <c r="A68" t="s">
        <v>254</v>
      </c>
      <c r="B68" s="64">
        <v>1852833.9943486855</v>
      </c>
      <c r="C68" s="64">
        <v>1887440.1992639154</v>
      </c>
      <c r="D68" s="64">
        <v>1922231.153857107</v>
      </c>
      <c r="E68" s="64">
        <v>1957314.4241649632</v>
      </c>
    </row>
    <row r="69" spans="1:6" x14ac:dyDescent="0.2">
      <c r="A69" t="s">
        <v>43</v>
      </c>
      <c r="B69" s="64">
        <v>0</v>
      </c>
      <c r="C69" s="64">
        <v>0</v>
      </c>
      <c r="D69" s="64">
        <v>0</v>
      </c>
      <c r="E69" s="64">
        <v>0</v>
      </c>
      <c r="F69" t="s">
        <v>383</v>
      </c>
    </row>
    <row r="70" spans="1:6" x14ac:dyDescent="0.2">
      <c r="A70" t="s">
        <v>255</v>
      </c>
      <c r="B70" s="64">
        <v>0</v>
      </c>
      <c r="C70" s="64">
        <v>0</v>
      </c>
      <c r="D70" s="64">
        <v>0</v>
      </c>
      <c r="E70" s="64">
        <v>0</v>
      </c>
      <c r="F70" t="s">
        <v>384</v>
      </c>
    </row>
    <row r="71" spans="1:6" x14ac:dyDescent="0.2">
      <c r="A71" t="s">
        <v>409</v>
      </c>
      <c r="B71" s="64">
        <v>-269552</v>
      </c>
      <c r="C71" s="64">
        <v>-271851</v>
      </c>
      <c r="D71" s="64">
        <v>-274215</v>
      </c>
      <c r="E71" s="64">
        <v>-276943</v>
      </c>
    </row>
    <row r="72" spans="1:6" x14ac:dyDescent="0.2">
      <c r="A72" s="21" t="s">
        <v>256</v>
      </c>
      <c r="B72" s="66">
        <f>SUM(B65:B71)</f>
        <v>6502673.6651270259</v>
      </c>
      <c r="C72" s="66">
        <f t="shared" ref="C72:E72" si="10">SUM(C65:C71)</f>
        <v>6630964.7296735244</v>
      </c>
      <c r="D72" s="66">
        <f t="shared" si="10"/>
        <v>6755706.7499018665</v>
      </c>
      <c r="E72" s="66">
        <f t="shared" si="10"/>
        <v>6888072.4542759992</v>
      </c>
    </row>
    <row r="73" spans="1:6" x14ac:dyDescent="0.2">
      <c r="B73" s="64"/>
      <c r="C73" s="64"/>
      <c r="D73" s="64"/>
      <c r="E73" s="64"/>
    </row>
    <row r="74" spans="1:6" ht="17" thickBot="1" x14ac:dyDescent="0.25">
      <c r="A74" s="21" t="s">
        <v>257</v>
      </c>
      <c r="B74" s="67">
        <f>+B59-B72</f>
        <v>-271392.08750971779</v>
      </c>
      <c r="C74" s="67">
        <f t="shared" ref="C74:E74" si="11">+C59-C72</f>
        <v>-247902.85024202801</v>
      </c>
      <c r="D74" s="67">
        <f t="shared" si="11"/>
        <v>-229721.88944791909</v>
      </c>
      <c r="E74" s="67">
        <f t="shared" si="11"/>
        <v>-203592.31025990658</v>
      </c>
    </row>
    <row r="75" spans="1:6" ht="17" thickTop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3E905-5C96-B74A-A1BC-D4DFE7A637E2}">
  <dimension ref="A1:F104"/>
  <sheetViews>
    <sheetView topLeftCell="A52" zoomScale="125" workbookViewId="0">
      <selection activeCell="B83" sqref="B83"/>
    </sheetView>
  </sheetViews>
  <sheetFormatPr baseColWidth="10" defaultColWidth="11" defaultRowHeight="16" x14ac:dyDescent="0.2"/>
  <cols>
    <col min="1" max="1" width="43.1640625" customWidth="1"/>
    <col min="2" max="2" width="11.33203125" customWidth="1"/>
    <col min="3" max="3" width="10.33203125" customWidth="1"/>
    <col min="4" max="4" width="11.83203125" bestFit="1" customWidth="1"/>
    <col min="6" max="6" width="26" customWidth="1"/>
  </cols>
  <sheetData>
    <row r="1" spans="1:6" ht="19" x14ac:dyDescent="0.25">
      <c r="A1" s="22" t="s">
        <v>0</v>
      </c>
    </row>
    <row r="2" spans="1:6" ht="19" x14ac:dyDescent="0.25">
      <c r="A2" s="22" t="s">
        <v>69</v>
      </c>
    </row>
    <row r="3" spans="1:6" ht="17" thickBot="1" x14ac:dyDescent="0.25"/>
    <row r="4" spans="1:6" x14ac:dyDescent="0.2">
      <c r="A4" s="32" t="s">
        <v>70</v>
      </c>
      <c r="B4" s="25"/>
      <c r="C4" s="25"/>
      <c r="D4" s="25"/>
      <c r="E4" s="25"/>
      <c r="F4" s="26"/>
    </row>
    <row r="5" spans="1:6" ht="82" customHeight="1" x14ac:dyDescent="0.2">
      <c r="A5" s="27"/>
      <c r="B5" s="21" t="s">
        <v>71</v>
      </c>
      <c r="C5" s="2" t="s">
        <v>9</v>
      </c>
      <c r="D5" s="2" t="s">
        <v>10</v>
      </c>
      <c r="E5" s="2" t="s">
        <v>72</v>
      </c>
      <c r="F5" s="28"/>
    </row>
    <row r="6" spans="1:6" x14ac:dyDescent="0.2">
      <c r="A6" s="27" t="s">
        <v>73</v>
      </c>
      <c r="B6" s="4"/>
      <c r="C6" s="4"/>
      <c r="D6" s="4"/>
      <c r="E6" s="4"/>
      <c r="F6" s="28"/>
    </row>
    <row r="7" spans="1:6" x14ac:dyDescent="0.2">
      <c r="A7" s="27" t="s">
        <v>74</v>
      </c>
      <c r="B7" s="4"/>
      <c r="C7" s="4"/>
      <c r="D7" s="4"/>
      <c r="E7" s="4"/>
      <c r="F7" s="28"/>
    </row>
    <row r="8" spans="1:6" x14ac:dyDescent="0.2">
      <c r="A8" s="27" t="s">
        <v>75</v>
      </c>
      <c r="B8" s="4"/>
      <c r="C8" s="4"/>
      <c r="D8" s="4"/>
      <c r="E8" s="4"/>
      <c r="F8" s="28"/>
    </row>
    <row r="9" spans="1:6" x14ac:dyDescent="0.2">
      <c r="A9" s="27"/>
      <c r="B9" s="11">
        <f>SUM(B6:B8)</f>
        <v>0</v>
      </c>
      <c r="C9" s="11">
        <f>SUM(C6:C8)</f>
        <v>0</v>
      </c>
      <c r="D9" s="11">
        <f t="shared" ref="D9:E9" si="0">SUM(D6:D8)</f>
        <v>0</v>
      </c>
      <c r="E9" s="11">
        <f t="shared" si="0"/>
        <v>0</v>
      </c>
      <c r="F9" s="28" t="s">
        <v>76</v>
      </c>
    </row>
    <row r="10" spans="1:6" x14ac:dyDescent="0.2">
      <c r="A10" s="27"/>
      <c r="F10" s="28"/>
    </row>
    <row r="11" spans="1:6" x14ac:dyDescent="0.2">
      <c r="A11" s="27" t="s">
        <v>77</v>
      </c>
      <c r="B11" s="4"/>
      <c r="C11" s="4"/>
      <c r="D11" s="4"/>
      <c r="E11" s="4"/>
      <c r="F11" s="28"/>
    </row>
    <row r="12" spans="1:6" x14ac:dyDescent="0.2">
      <c r="A12" s="27" t="s">
        <v>78</v>
      </c>
      <c r="B12" s="4"/>
      <c r="C12" s="4"/>
      <c r="D12" s="4"/>
      <c r="E12" s="4"/>
      <c r="F12" s="28"/>
    </row>
    <row r="13" spans="1:6" x14ac:dyDescent="0.2">
      <c r="A13" s="27" t="s">
        <v>79</v>
      </c>
      <c r="B13" s="4"/>
      <c r="C13" s="4"/>
      <c r="D13" s="4"/>
      <c r="E13" s="4"/>
      <c r="F13" s="28"/>
    </row>
    <row r="14" spans="1:6" x14ac:dyDescent="0.2">
      <c r="A14" s="27" t="s">
        <v>80</v>
      </c>
      <c r="B14" s="4"/>
      <c r="C14" s="4"/>
      <c r="D14" s="4"/>
      <c r="E14" s="4"/>
      <c r="F14" s="28"/>
    </row>
    <row r="15" spans="1:6" x14ac:dyDescent="0.2">
      <c r="A15" s="27" t="s">
        <v>81</v>
      </c>
      <c r="B15" s="4"/>
      <c r="C15" s="4"/>
      <c r="D15" s="4"/>
      <c r="E15" s="4"/>
      <c r="F15" s="28"/>
    </row>
    <row r="16" spans="1:6" x14ac:dyDescent="0.2">
      <c r="A16" s="27"/>
      <c r="B16" s="11">
        <f>SUM(B11:B15)</f>
        <v>0</v>
      </c>
      <c r="C16" s="11">
        <f>SUM(C11:C15)</f>
        <v>0</v>
      </c>
      <c r="D16" s="11">
        <f t="shared" ref="D16:E16" si="1">SUM(D11:D15)</f>
        <v>0</v>
      </c>
      <c r="E16" s="11">
        <f t="shared" si="1"/>
        <v>0</v>
      </c>
      <c r="F16" s="28" t="s">
        <v>82</v>
      </c>
    </row>
    <row r="17" spans="1:6" x14ac:dyDescent="0.2">
      <c r="A17" s="27"/>
      <c r="F17" s="28"/>
    </row>
    <row r="18" spans="1:6" x14ac:dyDescent="0.2">
      <c r="A18" s="27" t="s">
        <v>83</v>
      </c>
      <c r="B18" s="4"/>
      <c r="C18" s="4"/>
      <c r="D18" s="4"/>
      <c r="E18" s="4"/>
      <c r="F18" s="28"/>
    </row>
    <row r="19" spans="1:6" x14ac:dyDescent="0.2">
      <c r="A19" s="27" t="s">
        <v>84</v>
      </c>
      <c r="B19" s="4"/>
      <c r="C19" s="4"/>
      <c r="D19" s="4"/>
      <c r="E19" s="4"/>
      <c r="F19" s="28"/>
    </row>
    <row r="20" spans="1:6" x14ac:dyDescent="0.2">
      <c r="A20" s="27" t="s">
        <v>85</v>
      </c>
      <c r="B20" s="4"/>
      <c r="C20" s="4"/>
      <c r="D20" s="4"/>
      <c r="E20" s="4"/>
      <c r="F20" s="28"/>
    </row>
    <row r="21" spans="1:6" x14ac:dyDescent="0.2">
      <c r="A21" s="27"/>
      <c r="B21" s="11">
        <f>SUM(B18:B20)</f>
        <v>0</v>
      </c>
      <c r="C21" s="11">
        <f>SUM(C18:C20)</f>
        <v>0</v>
      </c>
      <c r="D21" s="11">
        <f t="shared" ref="D21:E21" si="2">SUM(D18:D20)</f>
        <v>0</v>
      </c>
      <c r="E21" s="11">
        <f t="shared" si="2"/>
        <v>0</v>
      </c>
      <c r="F21" s="28" t="s">
        <v>86</v>
      </c>
    </row>
    <row r="22" spans="1:6" x14ac:dyDescent="0.2">
      <c r="A22" s="27"/>
      <c r="F22" s="28"/>
    </row>
    <row r="23" spans="1:6" x14ac:dyDescent="0.2">
      <c r="A23" s="27" t="s">
        <v>87</v>
      </c>
      <c r="B23" s="4"/>
      <c r="C23" s="4"/>
      <c r="D23" s="4"/>
      <c r="E23" s="4"/>
      <c r="F23" s="28"/>
    </row>
    <row r="24" spans="1:6" x14ac:dyDescent="0.2">
      <c r="A24" s="27" t="s">
        <v>88</v>
      </c>
      <c r="B24" s="4"/>
      <c r="C24" s="4"/>
      <c r="D24" s="4"/>
      <c r="E24" s="4"/>
      <c r="F24" s="28"/>
    </row>
    <row r="25" spans="1:6" x14ac:dyDescent="0.2">
      <c r="A25" s="27" t="s">
        <v>89</v>
      </c>
      <c r="B25" s="4"/>
      <c r="C25" s="4"/>
      <c r="D25" s="4"/>
      <c r="E25" s="4"/>
      <c r="F25" s="28"/>
    </row>
    <row r="26" spans="1:6" x14ac:dyDescent="0.2">
      <c r="A26" s="27" t="s">
        <v>90</v>
      </c>
      <c r="B26" s="4"/>
      <c r="C26" s="4"/>
      <c r="D26" s="4"/>
      <c r="E26" s="4"/>
      <c r="F26" s="28"/>
    </row>
    <row r="27" spans="1:6" ht="17" thickBot="1" x14ac:dyDescent="0.25">
      <c r="A27" s="29"/>
      <c r="B27" s="30">
        <f>SUM(B23:B26)</f>
        <v>0</v>
      </c>
      <c r="C27" s="30">
        <f>SUM(C23:C26)</f>
        <v>0</v>
      </c>
      <c r="D27" s="30">
        <f t="shared" ref="D27:E27" si="3">SUM(D23:D26)</f>
        <v>0</v>
      </c>
      <c r="E27" s="30">
        <f t="shared" si="3"/>
        <v>0</v>
      </c>
      <c r="F27" s="31" t="s">
        <v>91</v>
      </c>
    </row>
    <row r="28" spans="1:6" ht="17" thickBot="1" x14ac:dyDescent="0.25"/>
    <row r="29" spans="1:6" x14ac:dyDescent="0.2">
      <c r="A29" s="32" t="s">
        <v>92</v>
      </c>
      <c r="B29" s="25"/>
      <c r="C29" s="25"/>
      <c r="D29" s="25"/>
      <c r="E29" s="25"/>
      <c r="F29" s="26"/>
    </row>
    <row r="30" spans="1:6" ht="68" x14ac:dyDescent="0.2">
      <c r="A30" s="27"/>
      <c r="B30" s="2" t="s">
        <v>93</v>
      </c>
      <c r="C30" s="2" t="s">
        <v>94</v>
      </c>
      <c r="D30" s="2" t="s">
        <v>95</v>
      </c>
      <c r="F30" s="28"/>
    </row>
    <row r="31" spans="1:6" x14ac:dyDescent="0.2">
      <c r="A31" s="27" t="s">
        <v>96</v>
      </c>
      <c r="B31" s="36">
        <v>30000</v>
      </c>
      <c r="C31" s="36">
        <v>20000</v>
      </c>
      <c r="D31" s="37">
        <f>+C31+B31</f>
        <v>50000</v>
      </c>
      <c r="F31" s="28"/>
    </row>
    <row r="32" spans="1:6" x14ac:dyDescent="0.2">
      <c r="A32" s="27" t="s">
        <v>21</v>
      </c>
      <c r="B32" s="36">
        <v>10000</v>
      </c>
      <c r="C32" s="36">
        <v>5000</v>
      </c>
      <c r="D32" s="37">
        <f t="shared" ref="D32:D35" si="4">+C32+B32</f>
        <v>15000</v>
      </c>
      <c r="F32" s="28"/>
    </row>
    <row r="33" spans="1:6" x14ac:dyDescent="0.2">
      <c r="A33" s="27" t="s">
        <v>97</v>
      </c>
      <c r="B33" s="36">
        <v>50000</v>
      </c>
      <c r="C33" s="36">
        <v>100000</v>
      </c>
      <c r="D33" s="37">
        <f t="shared" si="4"/>
        <v>150000</v>
      </c>
      <c r="F33" s="28"/>
    </row>
    <row r="34" spans="1:6" x14ac:dyDescent="0.2">
      <c r="A34" s="27" t="s">
        <v>98</v>
      </c>
      <c r="B34" s="36">
        <v>70000</v>
      </c>
      <c r="C34" s="36">
        <v>150000</v>
      </c>
      <c r="D34" s="37">
        <f t="shared" si="4"/>
        <v>220000</v>
      </c>
      <c r="F34" s="28"/>
    </row>
    <row r="35" spans="1:6" x14ac:dyDescent="0.2">
      <c r="A35" s="27" t="s">
        <v>99</v>
      </c>
      <c r="B35" s="36">
        <v>150000</v>
      </c>
      <c r="C35" s="36">
        <v>300000</v>
      </c>
      <c r="D35" s="37">
        <f t="shared" si="4"/>
        <v>450000</v>
      </c>
      <c r="F35" s="28"/>
    </row>
    <row r="36" spans="1:6" x14ac:dyDescent="0.2">
      <c r="A36" s="27"/>
      <c r="B36" s="37">
        <f>SUM(B31:B35)</f>
        <v>310000</v>
      </c>
      <c r="C36" s="37">
        <f>SUM(C31:C35)</f>
        <v>575000</v>
      </c>
      <c r="D36" s="37">
        <f>SUM(D31:D35)</f>
        <v>885000</v>
      </c>
      <c r="F36" s="28"/>
    </row>
    <row r="37" spans="1:6" x14ac:dyDescent="0.2">
      <c r="A37" s="27" t="s">
        <v>100</v>
      </c>
      <c r="F37" s="28"/>
    </row>
    <row r="38" spans="1:6" x14ac:dyDescent="0.2">
      <c r="A38" s="27" t="s">
        <v>96</v>
      </c>
      <c r="D38" s="34">
        <f>+D31/Inputs!B11</f>
        <v>416.66666666666669</v>
      </c>
      <c r="E38" t="s">
        <v>101</v>
      </c>
      <c r="F38" s="28"/>
    </row>
    <row r="39" spans="1:6" x14ac:dyDescent="0.2">
      <c r="A39" s="27" t="s">
        <v>21</v>
      </c>
      <c r="D39" s="34">
        <f>+D32/Inputs!B12</f>
        <v>250</v>
      </c>
      <c r="E39" t="s">
        <v>102</v>
      </c>
      <c r="F39" s="28"/>
    </row>
    <row r="40" spans="1:6" x14ac:dyDescent="0.2">
      <c r="A40" s="27" t="s">
        <v>97</v>
      </c>
      <c r="D40" s="34">
        <f>+D33/Inputs!B13</f>
        <v>500</v>
      </c>
      <c r="E40" t="s">
        <v>103</v>
      </c>
      <c r="F40" s="28"/>
    </row>
    <row r="41" spans="1:6" x14ac:dyDescent="0.2">
      <c r="A41" s="27" t="s">
        <v>98</v>
      </c>
      <c r="D41" s="34">
        <f>+D34/Inputs!B14</f>
        <v>916.66666666666663</v>
      </c>
      <c r="E41" t="s">
        <v>104</v>
      </c>
      <c r="F41" s="28"/>
    </row>
    <row r="42" spans="1:6" ht="17" thickBot="1" x14ac:dyDescent="0.25">
      <c r="A42" s="29" t="s">
        <v>99</v>
      </c>
      <c r="B42" s="30"/>
      <c r="C42" s="30"/>
      <c r="D42" s="35">
        <f>+D35/Inputs!B15</f>
        <v>1125</v>
      </c>
      <c r="E42" s="30" t="s">
        <v>105</v>
      </c>
      <c r="F42" s="31"/>
    </row>
    <row r="43" spans="1:6" ht="17" thickBot="1" x14ac:dyDescent="0.25"/>
    <row r="44" spans="1:6" x14ac:dyDescent="0.2">
      <c r="A44" s="32" t="s">
        <v>106</v>
      </c>
      <c r="B44" s="25"/>
      <c r="C44" s="25"/>
      <c r="D44" s="25"/>
      <c r="E44" s="25"/>
      <c r="F44" s="26"/>
    </row>
    <row r="45" spans="1:6" x14ac:dyDescent="0.2">
      <c r="A45" s="27"/>
      <c r="F45" s="28"/>
    </row>
    <row r="46" spans="1:6" x14ac:dyDescent="0.2">
      <c r="A46" s="27" t="s">
        <v>107</v>
      </c>
      <c r="B46" s="36">
        <v>200000</v>
      </c>
      <c r="F46" s="28"/>
    </row>
    <row r="47" spans="1:6" x14ac:dyDescent="0.2">
      <c r="A47" s="27" t="s">
        <v>108</v>
      </c>
      <c r="B47" s="36">
        <v>150000</v>
      </c>
      <c r="F47" s="28"/>
    </row>
    <row r="48" spans="1:6" x14ac:dyDescent="0.2">
      <c r="A48" s="27" t="s">
        <v>109</v>
      </c>
      <c r="B48" s="39">
        <f>+B46-B47</f>
        <v>50000</v>
      </c>
      <c r="F48" s="28"/>
    </row>
    <row r="49" spans="1:6" x14ac:dyDescent="0.2">
      <c r="A49" s="27"/>
      <c r="B49" s="37"/>
      <c r="F49" s="28"/>
    </row>
    <row r="50" spans="1:6" x14ac:dyDescent="0.2">
      <c r="A50" s="27" t="s">
        <v>110</v>
      </c>
      <c r="B50" s="36">
        <v>250000</v>
      </c>
      <c r="F50" s="28"/>
    </row>
    <row r="51" spans="1:6" x14ac:dyDescent="0.2">
      <c r="A51" s="27" t="s">
        <v>111</v>
      </c>
      <c r="B51" s="36">
        <v>150000</v>
      </c>
      <c r="F51" s="28"/>
    </row>
    <row r="52" spans="1:6" x14ac:dyDescent="0.2">
      <c r="A52" s="27" t="s">
        <v>112</v>
      </c>
      <c r="B52" s="36">
        <v>50000</v>
      </c>
      <c r="F52" s="28"/>
    </row>
    <row r="53" spans="1:6" ht="17" thickBot="1" x14ac:dyDescent="0.25">
      <c r="A53" s="29" t="s">
        <v>113</v>
      </c>
      <c r="B53" s="48">
        <f>SUM(B48:B52)</f>
        <v>500000</v>
      </c>
      <c r="C53" s="30" t="s">
        <v>114</v>
      </c>
      <c r="D53" s="30"/>
      <c r="E53" s="30"/>
      <c r="F53" s="31"/>
    </row>
    <row r="54" spans="1:6" ht="17" thickBot="1" x14ac:dyDescent="0.25"/>
    <row r="55" spans="1:6" x14ac:dyDescent="0.2">
      <c r="A55" s="32" t="s">
        <v>115</v>
      </c>
      <c r="B55" s="25"/>
      <c r="C55" s="25"/>
      <c r="D55" s="25"/>
      <c r="E55" s="25"/>
      <c r="F55" s="26"/>
    </row>
    <row r="56" spans="1:6" x14ac:dyDescent="0.2">
      <c r="A56" s="27"/>
      <c r="F56" s="28"/>
    </row>
    <row r="57" spans="1:6" x14ac:dyDescent="0.2">
      <c r="A57" s="27" t="s">
        <v>116</v>
      </c>
      <c r="B57" s="36">
        <v>150000</v>
      </c>
      <c r="F57" s="28"/>
    </row>
    <row r="58" spans="1:6" x14ac:dyDescent="0.2">
      <c r="A58" s="27" t="s">
        <v>117</v>
      </c>
      <c r="B58" s="36">
        <v>95000</v>
      </c>
      <c r="F58" s="28"/>
    </row>
    <row r="59" spans="1:6" x14ac:dyDescent="0.2">
      <c r="A59" s="27" t="s">
        <v>118</v>
      </c>
      <c r="B59" s="36">
        <v>120000</v>
      </c>
      <c r="F59" s="28"/>
    </row>
    <row r="60" spans="1:6" x14ac:dyDescent="0.2">
      <c r="A60" s="27" t="s">
        <v>119</v>
      </c>
      <c r="B60" s="36">
        <v>60000</v>
      </c>
      <c r="F60" s="28"/>
    </row>
    <row r="61" spans="1:6" x14ac:dyDescent="0.2">
      <c r="A61" s="27" t="s">
        <v>120</v>
      </c>
      <c r="B61" s="36">
        <v>75000</v>
      </c>
      <c r="F61" s="28"/>
    </row>
    <row r="62" spans="1:6" x14ac:dyDescent="0.2">
      <c r="A62" s="27" t="s">
        <v>121</v>
      </c>
      <c r="B62" s="36">
        <v>75000</v>
      </c>
      <c r="F62" s="28"/>
    </row>
    <row r="63" spans="1:6" x14ac:dyDescent="0.2">
      <c r="A63" s="27" t="s">
        <v>122</v>
      </c>
      <c r="B63" s="36">
        <v>60000</v>
      </c>
      <c r="F63" s="28"/>
    </row>
    <row r="64" spans="1:6" x14ac:dyDescent="0.2">
      <c r="A64" s="27" t="s">
        <v>123</v>
      </c>
      <c r="B64" s="36">
        <v>407500</v>
      </c>
      <c r="F64" s="28"/>
    </row>
    <row r="65" spans="1:6" x14ac:dyDescent="0.2">
      <c r="A65" s="27"/>
      <c r="B65" s="39">
        <f>SUM(B57:B64)</f>
        <v>1042500</v>
      </c>
      <c r="F65" s="28"/>
    </row>
    <row r="66" spans="1:6" x14ac:dyDescent="0.2">
      <c r="A66" s="27" t="s">
        <v>124</v>
      </c>
      <c r="B66" s="45">
        <f>+'Base School Model'!B28</f>
        <v>19.666666666666668</v>
      </c>
      <c r="C66" t="s">
        <v>125</v>
      </c>
      <c r="F66" s="28"/>
    </row>
    <row r="67" spans="1:6" ht="17" thickBot="1" x14ac:dyDescent="0.25">
      <c r="A67" s="29"/>
      <c r="B67" s="48">
        <f>+B65/B66</f>
        <v>53008.474576271183</v>
      </c>
      <c r="C67" s="30" t="s">
        <v>126</v>
      </c>
      <c r="D67" s="30"/>
      <c r="E67" s="30"/>
      <c r="F67" s="31"/>
    </row>
    <row r="68" spans="1:6" ht="17" thickBot="1" x14ac:dyDescent="0.25"/>
    <row r="69" spans="1:6" x14ac:dyDescent="0.2">
      <c r="A69" s="32" t="s">
        <v>127</v>
      </c>
      <c r="B69" s="25"/>
      <c r="C69" s="25"/>
      <c r="D69" s="25"/>
      <c r="E69" s="25"/>
      <c r="F69" s="26"/>
    </row>
    <row r="70" spans="1:6" x14ac:dyDescent="0.2">
      <c r="A70" s="27"/>
      <c r="F70" s="28"/>
    </row>
    <row r="71" spans="1:6" x14ac:dyDescent="0.2">
      <c r="A71" s="27" t="s">
        <v>128</v>
      </c>
      <c r="B71" s="36">
        <v>150000</v>
      </c>
      <c r="F71" s="28"/>
    </row>
    <row r="72" spans="1:6" x14ac:dyDescent="0.2">
      <c r="A72" s="27" t="s">
        <v>129</v>
      </c>
      <c r="B72" s="36">
        <v>50000</v>
      </c>
      <c r="F72" s="28"/>
    </row>
    <row r="73" spans="1:6" x14ac:dyDescent="0.2">
      <c r="A73" s="27" t="s">
        <v>130</v>
      </c>
      <c r="B73" s="36">
        <v>50000</v>
      </c>
      <c r="F73" s="28"/>
    </row>
    <row r="74" spans="1:6" x14ac:dyDescent="0.2">
      <c r="A74" s="27" t="s">
        <v>131</v>
      </c>
      <c r="B74" s="36">
        <v>50000</v>
      </c>
      <c r="F74" s="28"/>
    </row>
    <row r="75" spans="1:6" ht="17" thickBot="1" x14ac:dyDescent="0.25">
      <c r="A75" s="29"/>
      <c r="B75" s="48">
        <f>SUM(B71:B74)</f>
        <v>300000</v>
      </c>
      <c r="C75" s="30" t="s">
        <v>132</v>
      </c>
      <c r="D75" s="30"/>
      <c r="E75" s="30"/>
      <c r="F75" s="31"/>
    </row>
    <row r="76" spans="1:6" ht="17" thickBot="1" x14ac:dyDescent="0.25">
      <c r="B76" s="38"/>
    </row>
    <row r="77" spans="1:6" x14ac:dyDescent="0.2">
      <c r="A77" s="32" t="s">
        <v>133</v>
      </c>
      <c r="B77" s="51"/>
      <c r="C77" s="25"/>
      <c r="D77" s="25"/>
      <c r="E77" s="25"/>
      <c r="F77" s="26"/>
    </row>
    <row r="78" spans="1:6" x14ac:dyDescent="0.2">
      <c r="A78" s="27"/>
      <c r="B78" s="37"/>
      <c r="F78" s="28"/>
    </row>
    <row r="79" spans="1:6" x14ac:dyDescent="0.2">
      <c r="A79" s="27" t="s">
        <v>134</v>
      </c>
      <c r="B79" s="36">
        <v>400000</v>
      </c>
      <c r="F79" s="28"/>
    </row>
    <row r="80" spans="1:6" x14ac:dyDescent="0.2">
      <c r="A80" s="27" t="s">
        <v>135</v>
      </c>
      <c r="B80" s="36">
        <v>100000</v>
      </c>
      <c r="F80" s="28"/>
    </row>
    <row r="81" spans="1:6" x14ac:dyDescent="0.2">
      <c r="A81" s="27" t="s">
        <v>136</v>
      </c>
      <c r="B81" s="36">
        <v>50000</v>
      </c>
      <c r="F81" s="28"/>
    </row>
    <row r="82" spans="1:6" x14ac:dyDescent="0.2">
      <c r="A82" s="27" t="s">
        <v>137</v>
      </c>
      <c r="B82" s="36">
        <v>30000</v>
      </c>
      <c r="F82" s="28"/>
    </row>
    <row r="83" spans="1:6" x14ac:dyDescent="0.2">
      <c r="A83" s="27" t="s">
        <v>138</v>
      </c>
      <c r="B83" s="36">
        <v>75000</v>
      </c>
      <c r="F83" s="28"/>
    </row>
    <row r="84" spans="1:6" x14ac:dyDescent="0.2">
      <c r="A84" s="27" t="s">
        <v>139</v>
      </c>
      <c r="B84" s="36">
        <v>20000</v>
      </c>
      <c r="F84" s="28"/>
    </row>
    <row r="85" spans="1:6" x14ac:dyDescent="0.2">
      <c r="A85" s="27" t="s">
        <v>140</v>
      </c>
      <c r="B85" s="36">
        <v>100000</v>
      </c>
      <c r="F85" s="28"/>
    </row>
    <row r="86" spans="1:6" x14ac:dyDescent="0.2">
      <c r="A86" s="27" t="s">
        <v>141</v>
      </c>
      <c r="B86" s="36">
        <v>75000</v>
      </c>
      <c r="F86" s="28"/>
    </row>
    <row r="87" spans="1:6" x14ac:dyDescent="0.2">
      <c r="A87" s="27" t="s">
        <v>142</v>
      </c>
      <c r="B87" s="36">
        <v>75000</v>
      </c>
      <c r="F87" s="28"/>
    </row>
    <row r="88" spans="1:6" x14ac:dyDescent="0.2">
      <c r="A88" s="27" t="s">
        <v>143</v>
      </c>
      <c r="B88" s="36">
        <v>0</v>
      </c>
      <c r="F88" s="28"/>
    </row>
    <row r="89" spans="1:6" x14ac:dyDescent="0.2">
      <c r="A89" s="27" t="s">
        <v>144</v>
      </c>
      <c r="B89" s="36">
        <v>50000</v>
      </c>
      <c r="F89" s="28"/>
    </row>
    <row r="90" spans="1:6" x14ac:dyDescent="0.2">
      <c r="A90" s="27" t="s">
        <v>145</v>
      </c>
      <c r="B90" s="36">
        <v>145000</v>
      </c>
      <c r="F90" s="28"/>
    </row>
    <row r="91" spans="1:6" x14ac:dyDescent="0.2">
      <c r="A91" s="27"/>
      <c r="B91" s="50">
        <f>SUM(B79:B90)</f>
        <v>1120000</v>
      </c>
      <c r="F91" s="28"/>
    </row>
    <row r="92" spans="1:6" x14ac:dyDescent="0.2">
      <c r="A92" s="27" t="s">
        <v>146</v>
      </c>
      <c r="B92" s="45">
        <f>+Inputs!B16</f>
        <v>1120</v>
      </c>
      <c r="F92" s="28"/>
    </row>
    <row r="93" spans="1:6" ht="17" thickBot="1" x14ac:dyDescent="0.25">
      <c r="A93" s="29"/>
      <c r="B93" s="52">
        <f>+B91/B92</f>
        <v>1000</v>
      </c>
      <c r="C93" s="30" t="s">
        <v>147</v>
      </c>
      <c r="D93" s="30"/>
      <c r="E93" s="30"/>
      <c r="F93" s="31"/>
    </row>
    <row r="94" spans="1:6" ht="17" thickBot="1" x14ac:dyDescent="0.25"/>
    <row r="95" spans="1:6" x14ac:dyDescent="0.2">
      <c r="A95" s="32" t="s">
        <v>148</v>
      </c>
      <c r="B95" s="25"/>
      <c r="C95" s="25"/>
      <c r="D95" s="25"/>
      <c r="E95" s="25"/>
      <c r="F95" s="26"/>
    </row>
    <row r="96" spans="1:6" x14ac:dyDescent="0.2">
      <c r="A96" s="27"/>
      <c r="F96" s="28"/>
    </row>
    <row r="97" spans="1:6" x14ac:dyDescent="0.2">
      <c r="A97" s="27" t="s">
        <v>149</v>
      </c>
      <c r="B97" s="36">
        <v>100000</v>
      </c>
      <c r="C97" t="s">
        <v>150</v>
      </c>
      <c r="F97" s="28"/>
    </row>
    <row r="98" spans="1:6" x14ac:dyDescent="0.2">
      <c r="A98" s="27" t="s">
        <v>149</v>
      </c>
      <c r="B98" s="36">
        <v>100000</v>
      </c>
      <c r="F98" s="28"/>
    </row>
    <row r="99" spans="1:6" x14ac:dyDescent="0.2">
      <c r="A99" s="27" t="s">
        <v>149</v>
      </c>
      <c r="B99" s="36"/>
      <c r="F99" s="28"/>
    </row>
    <row r="100" spans="1:6" x14ac:dyDescent="0.2">
      <c r="A100" s="27" t="s">
        <v>151</v>
      </c>
      <c r="B100" s="36">
        <v>50000</v>
      </c>
      <c r="C100" t="s">
        <v>152</v>
      </c>
      <c r="F100" s="28"/>
    </row>
    <row r="101" spans="1:6" x14ac:dyDescent="0.2">
      <c r="A101" s="27" t="s">
        <v>151</v>
      </c>
      <c r="B101" s="36">
        <v>50000</v>
      </c>
      <c r="F101" s="28"/>
    </row>
    <row r="102" spans="1:6" x14ac:dyDescent="0.2">
      <c r="A102" s="27" t="s">
        <v>151</v>
      </c>
      <c r="B102" s="36"/>
      <c r="F102" s="28"/>
    </row>
    <row r="103" spans="1:6" x14ac:dyDescent="0.2">
      <c r="A103" s="27" t="s">
        <v>153</v>
      </c>
      <c r="B103" s="36"/>
      <c r="F103" s="28"/>
    </row>
    <row r="104" spans="1:6" ht="17" thickBot="1" x14ac:dyDescent="0.25">
      <c r="A104" s="29"/>
      <c r="B104" s="48">
        <f>SUM(B97:B103)</f>
        <v>300000</v>
      </c>
      <c r="C104" s="30" t="s">
        <v>154</v>
      </c>
      <c r="D104" s="30"/>
      <c r="E104" s="30"/>
      <c r="F104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0746C-3F24-CA4B-A33F-48FB5C4B79D3}">
  <dimension ref="A1:F34"/>
  <sheetViews>
    <sheetView tabSelected="1" zoomScale="150" workbookViewId="0">
      <selection activeCell="F6" sqref="F6"/>
    </sheetView>
  </sheetViews>
  <sheetFormatPr baseColWidth="10" defaultColWidth="11" defaultRowHeight="16" x14ac:dyDescent="0.2"/>
  <cols>
    <col min="1" max="1" width="45.6640625" customWidth="1"/>
    <col min="2" max="2" width="16.83203125" customWidth="1"/>
    <col min="3" max="3" width="16.33203125" customWidth="1"/>
    <col min="4" max="4" width="16.5" customWidth="1"/>
    <col min="5" max="5" width="14.83203125" customWidth="1"/>
    <col min="6" max="6" width="20.5" style="68" customWidth="1"/>
  </cols>
  <sheetData>
    <row r="1" spans="1:6" ht="19" x14ac:dyDescent="0.25">
      <c r="A1" s="22" t="s">
        <v>0</v>
      </c>
    </row>
    <row r="2" spans="1:6" ht="19" x14ac:dyDescent="0.25">
      <c r="A2" s="22" t="s">
        <v>155</v>
      </c>
      <c r="B2" s="24" t="s">
        <v>3</v>
      </c>
      <c r="C2" s="24"/>
      <c r="D2" s="24"/>
      <c r="E2" s="24"/>
      <c r="F2" s="24"/>
    </row>
    <row r="3" spans="1:6" x14ac:dyDescent="0.2">
      <c r="B3" s="23" t="s">
        <v>4</v>
      </c>
      <c r="C3" s="23"/>
      <c r="D3" s="23"/>
      <c r="E3" s="23"/>
      <c r="F3" s="23"/>
    </row>
    <row r="4" spans="1:6" x14ac:dyDescent="0.2">
      <c r="A4" s="99"/>
      <c r="B4" s="104" t="s">
        <v>156</v>
      </c>
      <c r="C4" s="104" t="s">
        <v>157</v>
      </c>
      <c r="D4" s="104" t="s">
        <v>158</v>
      </c>
      <c r="E4" s="104" t="s">
        <v>159</v>
      </c>
      <c r="F4" s="104" t="s">
        <v>160</v>
      </c>
    </row>
    <row r="5" spans="1:6" ht="93" customHeight="1" x14ac:dyDescent="0.2">
      <c r="A5" s="106" t="s">
        <v>161</v>
      </c>
      <c r="B5" s="111" t="s">
        <v>162</v>
      </c>
      <c r="C5" s="111" t="s">
        <v>163</v>
      </c>
      <c r="D5" s="111" t="s">
        <v>164</v>
      </c>
      <c r="E5" s="111" t="s">
        <v>165</v>
      </c>
      <c r="F5" s="5"/>
    </row>
    <row r="6" spans="1:6" x14ac:dyDescent="0.2">
      <c r="A6" s="71" t="s">
        <v>166</v>
      </c>
      <c r="B6" s="73" t="s">
        <v>167</v>
      </c>
      <c r="C6" s="73" t="s">
        <v>168</v>
      </c>
      <c r="D6" s="73" t="s">
        <v>169</v>
      </c>
      <c r="E6" s="73" t="s">
        <v>170</v>
      </c>
      <c r="F6" s="8" t="str">
        <f>+Inputs!D7</f>
        <v>Massachusetts - Urban</v>
      </c>
    </row>
    <row r="7" spans="1:6" ht="32" x14ac:dyDescent="0.2">
      <c r="A7" s="106" t="s">
        <v>171</v>
      </c>
      <c r="B7" s="109" t="s">
        <v>172</v>
      </c>
      <c r="C7" s="105" t="s">
        <v>173</v>
      </c>
      <c r="D7" s="105" t="s">
        <v>174</v>
      </c>
      <c r="E7" s="105" t="s">
        <v>175</v>
      </c>
      <c r="F7" s="5"/>
    </row>
    <row r="8" spans="1:6" x14ac:dyDescent="0.2">
      <c r="A8" s="71" t="s">
        <v>28</v>
      </c>
      <c r="B8" s="73" t="s">
        <v>176</v>
      </c>
      <c r="C8" s="73" t="s">
        <v>177</v>
      </c>
      <c r="D8" s="73" t="s">
        <v>178</v>
      </c>
      <c r="E8" s="73">
        <v>573</v>
      </c>
      <c r="F8" s="5"/>
    </row>
    <row r="9" spans="1:6" x14ac:dyDescent="0.2">
      <c r="A9" s="71" t="s">
        <v>179</v>
      </c>
      <c r="B9" s="73">
        <v>0</v>
      </c>
      <c r="C9" s="73" t="s">
        <v>180</v>
      </c>
      <c r="D9" s="73" t="s">
        <v>181</v>
      </c>
      <c r="E9" s="117">
        <v>1</v>
      </c>
      <c r="F9" s="98">
        <f>Inputs!E16/Inputs!B16</f>
        <v>0.11428571428571428</v>
      </c>
    </row>
    <row r="10" spans="1:6" x14ac:dyDescent="0.2">
      <c r="A10" s="71" t="s">
        <v>182</v>
      </c>
      <c r="B10" s="73">
        <v>0</v>
      </c>
      <c r="C10" s="73" t="s">
        <v>180</v>
      </c>
      <c r="D10" s="74">
        <v>0.35</v>
      </c>
      <c r="E10" s="117">
        <v>1</v>
      </c>
      <c r="F10" s="98">
        <f>+(Inputs!C16+Inputs!D16)/Inputs!B16</f>
        <v>0.375</v>
      </c>
    </row>
    <row r="11" spans="1:6" x14ac:dyDescent="0.2">
      <c r="A11" s="71" t="s">
        <v>183</v>
      </c>
      <c r="B11" s="74">
        <f>B12+B13+B14</f>
        <v>1.795477949643811E-2</v>
      </c>
      <c r="C11" s="73" t="s">
        <v>180</v>
      </c>
      <c r="D11" s="74">
        <f>-'Exemplar 3'!B52/'Exemplar 3'!B49</f>
        <v>0.34540988639852627</v>
      </c>
      <c r="E11" s="73" t="s">
        <v>180</v>
      </c>
      <c r="F11" s="98">
        <f>-('Base School Model'!B42+'Base School Model'!B43+'Base School Model'!B44+'Base School Model'!B45)/'Base School Model'!B41</f>
        <v>0.51427482209420539</v>
      </c>
    </row>
    <row r="12" spans="1:6" x14ac:dyDescent="0.2">
      <c r="A12" s="72" t="s">
        <v>184</v>
      </c>
      <c r="B12" s="73">
        <v>0</v>
      </c>
      <c r="C12" s="73" t="s">
        <v>180</v>
      </c>
      <c r="D12" s="73" t="s">
        <v>181</v>
      </c>
      <c r="E12" s="117">
        <v>1</v>
      </c>
      <c r="F12" s="8">
        <f>+'Base School Model'!B45/'Base School Model'!B41</f>
        <v>0</v>
      </c>
    </row>
    <row r="13" spans="1:6" x14ac:dyDescent="0.2">
      <c r="A13" s="72" t="s">
        <v>185</v>
      </c>
      <c r="B13" s="73">
        <v>0</v>
      </c>
      <c r="C13" s="73" t="s">
        <v>180</v>
      </c>
      <c r="D13" s="73" t="s">
        <v>181</v>
      </c>
      <c r="E13" s="73"/>
      <c r="F13" s="98">
        <f>-('Base School Model'!B44+'Base School Model'!B43)/'Base School Model'!B41</f>
        <v>3.3929176550321925E-2</v>
      </c>
    </row>
    <row r="14" spans="1:6" x14ac:dyDescent="0.2">
      <c r="A14" s="71" t="s">
        <v>186</v>
      </c>
      <c r="B14" s="74">
        <f>-'Exemplar 1'!B50/'Exemplar 1'!B49</f>
        <v>1.795477949643811E-2</v>
      </c>
      <c r="C14" s="73" t="s">
        <v>180</v>
      </c>
      <c r="D14" s="73" t="s">
        <v>181</v>
      </c>
      <c r="E14" s="73"/>
      <c r="F14" s="98">
        <f>-'Base School Model'!B42/'Base School Model'!B41</f>
        <v>0.48034564554388343</v>
      </c>
    </row>
    <row r="15" spans="1:6" x14ac:dyDescent="0.2">
      <c r="A15" s="71" t="s">
        <v>187</v>
      </c>
      <c r="B15" s="73" t="s">
        <v>188</v>
      </c>
      <c r="C15" s="73" t="s">
        <v>189</v>
      </c>
      <c r="D15" s="73" t="s">
        <v>189</v>
      </c>
      <c r="E15" s="73" t="s">
        <v>189</v>
      </c>
      <c r="F15" s="5" t="s">
        <v>189</v>
      </c>
    </row>
    <row r="16" spans="1:6" ht="32" x14ac:dyDescent="0.2">
      <c r="A16" s="71" t="s">
        <v>190</v>
      </c>
      <c r="B16" s="73" t="s">
        <v>191</v>
      </c>
      <c r="C16" s="73" t="s">
        <v>192</v>
      </c>
      <c r="D16" s="73" t="s">
        <v>193</v>
      </c>
      <c r="E16" s="105" t="s">
        <v>194</v>
      </c>
      <c r="F16" s="5"/>
    </row>
    <row r="17" spans="1:6" x14ac:dyDescent="0.2">
      <c r="A17" s="100"/>
      <c r="B17" s="101"/>
      <c r="C17" s="101"/>
      <c r="D17" s="101"/>
      <c r="E17" s="101"/>
      <c r="F17" s="101"/>
    </row>
    <row r="18" spans="1:6" x14ac:dyDescent="0.2">
      <c r="A18" s="70" t="s">
        <v>195</v>
      </c>
      <c r="B18" s="73"/>
      <c r="C18" s="73"/>
      <c r="D18" s="73"/>
      <c r="E18" s="73"/>
      <c r="F18" s="114"/>
    </row>
    <row r="19" spans="1:6" ht="32" x14ac:dyDescent="0.2">
      <c r="A19" s="110" t="s">
        <v>196</v>
      </c>
      <c r="B19" s="109" t="s">
        <v>197</v>
      </c>
      <c r="C19" s="111" t="s">
        <v>198</v>
      </c>
      <c r="D19" s="112">
        <f>+'Exemplar 3'!B12</f>
        <v>10000</v>
      </c>
      <c r="E19" s="109" t="s">
        <v>199</v>
      </c>
      <c r="F19" s="118" t="s">
        <v>200</v>
      </c>
    </row>
    <row r="20" spans="1:6" x14ac:dyDescent="0.2">
      <c r="A20" s="70" t="s">
        <v>201</v>
      </c>
      <c r="B20" s="107">
        <f>+'Exemplar 1'!B26</f>
        <v>41200</v>
      </c>
      <c r="C20" s="108">
        <f>+'Exemplar 2'!B25</f>
        <v>36720</v>
      </c>
      <c r="D20" s="108">
        <f>+'Exemplar 3'!B26</f>
        <v>44250</v>
      </c>
      <c r="E20" s="107">
        <f>+'Exemplar 4'!B27</f>
        <v>42181.030534351143</v>
      </c>
      <c r="F20" s="119">
        <f>+Inputs!E32</f>
        <v>51331</v>
      </c>
    </row>
    <row r="21" spans="1:6" x14ac:dyDescent="0.2">
      <c r="A21" s="70" t="s">
        <v>202</v>
      </c>
      <c r="B21" s="108">
        <f>+'Exemplar 1'!B31</f>
        <v>56900</v>
      </c>
      <c r="C21" s="108">
        <f>+'Exemplar 2'!B30</f>
        <v>59160</v>
      </c>
      <c r="D21" s="108">
        <f>+'Exemplar 3'!B31</f>
        <v>48488.888888888891</v>
      </c>
      <c r="E21" s="108">
        <f>+'Exemplar 4'!B32</f>
        <v>51882.116788321167</v>
      </c>
      <c r="F21" s="119">
        <f>+Inputs!D21</f>
        <v>75000</v>
      </c>
    </row>
    <row r="22" spans="1:6" x14ac:dyDescent="0.2">
      <c r="A22" s="70" t="s">
        <v>203</v>
      </c>
      <c r="B22" s="107">
        <f>+'Exemplar 1'!B34</f>
        <v>342.30769230769232</v>
      </c>
      <c r="C22" s="108">
        <f>+'Exemplar 2'!B33</f>
        <v>781</v>
      </c>
      <c r="D22" s="108">
        <f>+'Exemplar 3'!B34</f>
        <v>836.02083333333337</v>
      </c>
      <c r="E22" s="108">
        <f>+('Exemplar 4'!B61+'Exemplar 4'!B67)/'Exemplar 4'!B20</f>
        <v>5083.8811294838624</v>
      </c>
      <c r="F22" s="119">
        <f>+'Base School Model'!B59/'Base School Model'!B13</f>
        <v>2404.0499999999997</v>
      </c>
    </row>
    <row r="23" spans="1:6" x14ac:dyDescent="0.2">
      <c r="A23" s="70" t="s">
        <v>204</v>
      </c>
      <c r="B23" s="108">
        <f>+'Exemplar 1'!B32</f>
        <v>1000</v>
      </c>
      <c r="C23" s="108">
        <f>+'Exemplar 2'!B31</f>
        <v>1784</v>
      </c>
      <c r="D23" s="108" t="s">
        <v>181</v>
      </c>
      <c r="E23" s="108">
        <f>+'Exemplar 4'!B68/'Exemplar 4'!B20</f>
        <v>3216.7256846331347</v>
      </c>
      <c r="F23" s="119">
        <f>+('Base School Model'!B60+'Base School Model'!B61+'Base School Model'!B62)/'Base School Model'!B13</f>
        <v>1312.5</v>
      </c>
    </row>
    <row r="24" spans="1:6" x14ac:dyDescent="0.2">
      <c r="A24" s="70" t="s">
        <v>205</v>
      </c>
      <c r="B24" s="108">
        <v>0</v>
      </c>
      <c r="C24" s="108" t="s">
        <v>181</v>
      </c>
      <c r="D24" s="108">
        <f>+'Exemplar 3'!B40</f>
        <v>6830.357142857144</v>
      </c>
      <c r="E24" s="108">
        <f>+'Exemplar 4'!B39</f>
        <v>6934.4357638888887</v>
      </c>
      <c r="F24" s="119">
        <f>-('Base School Model'!B43+'Base School Model'!B44+'Base School Model'!B45)/(Inputs!C16+Inputs!D16+Inputs!E16)</f>
        <v>730.83941605839414</v>
      </c>
    </row>
    <row r="25" spans="1:6" x14ac:dyDescent="0.2">
      <c r="A25" s="70" t="s">
        <v>206</v>
      </c>
      <c r="B25" s="108">
        <f>+'Exemplar 1'!B55/'Exemplar 1'!B19</f>
        <v>486.46153846153845</v>
      </c>
      <c r="C25" s="108">
        <f>+'Exemplar 2'!B54/'Exemplar 2'!B18</f>
        <v>4029.6296296296296</v>
      </c>
      <c r="D25" s="108">
        <v>0</v>
      </c>
      <c r="E25" s="108">
        <f>+'Exemplar 4'!B57/'Exemplar 4'!B20</f>
        <v>2586.5823614501401</v>
      </c>
      <c r="F25" s="119">
        <f>+('Base School Model'!B50+'Base School Model'!B51)/'Base School Model'!B13</f>
        <v>625</v>
      </c>
    </row>
    <row r="26" spans="1:6" x14ac:dyDescent="0.2">
      <c r="A26" s="70" t="s">
        <v>207</v>
      </c>
      <c r="B26" s="108" t="s">
        <v>180</v>
      </c>
      <c r="C26" s="108">
        <f>+'Exemplar 2'!B68/'Exemplar 2'!B18</f>
        <v>11879.481481481482</v>
      </c>
      <c r="D26" s="108">
        <f>+'Exemplar 3'!B70/'Exemplar 3'!B19</f>
        <v>10896.447916666666</v>
      </c>
      <c r="E26" s="108">
        <f>+'Exemplar 4'!B72/'Exemplar 4'!B20</f>
        <v>11289.364001956643</v>
      </c>
      <c r="F26" s="119">
        <f>+'Base School Model'!B63/'Base School Model'!B13</f>
        <v>9869.4949404761919</v>
      </c>
    </row>
    <row r="27" spans="1:6" x14ac:dyDescent="0.2">
      <c r="A27" s="70" t="s">
        <v>208</v>
      </c>
      <c r="B27" s="108">
        <f>+'Exemplar 1'!B69/'Exemplar 1'!B19</f>
        <v>6931.4111153846152</v>
      </c>
      <c r="C27" s="108">
        <f>+('Exemplar 2'!B68-15000)/'Exemplar 2'!B18</f>
        <v>11601.703703703704</v>
      </c>
      <c r="D27" s="108">
        <f>+('Exemplar 3'!B70-78336)/'Exemplar 3'!B19</f>
        <v>10080.447916666666</v>
      </c>
      <c r="E27" s="108">
        <f>+('Exemplar 4'!B72-'Exemplar 4'!B68)/'Exemplar 4'!B20</f>
        <v>8072.6383173235081</v>
      </c>
      <c r="F27" s="119">
        <f>+('Base School Model'!B59+'Base School Model'!B62)/'Base School Model'!B13</f>
        <v>2448.6928571428566</v>
      </c>
    </row>
    <row r="28" spans="1:6" x14ac:dyDescent="0.2">
      <c r="A28" s="102"/>
      <c r="B28" s="101"/>
      <c r="C28" s="101"/>
      <c r="D28" s="101"/>
      <c r="E28" s="101"/>
      <c r="F28" s="101"/>
    </row>
    <row r="29" spans="1:6" x14ac:dyDescent="0.2">
      <c r="A29" s="70" t="s">
        <v>209</v>
      </c>
      <c r="B29" s="73"/>
      <c r="C29" s="73"/>
      <c r="D29" s="73"/>
      <c r="E29" s="73"/>
      <c r="F29" s="114"/>
    </row>
    <row r="30" spans="1:6" x14ac:dyDescent="0.2">
      <c r="A30" s="70" t="s">
        <v>210</v>
      </c>
      <c r="B30" s="103">
        <f>+'Assumptions by State'!B34</f>
        <v>44785</v>
      </c>
      <c r="C30" s="103">
        <f>+'Assumptions by State'!B21</f>
        <v>30189</v>
      </c>
      <c r="D30" s="103">
        <f>+'Assumptions by State'!B58</f>
        <v>40799</v>
      </c>
      <c r="E30" s="108">
        <f>+'Assumptions by State'!B65</f>
        <v>38742</v>
      </c>
      <c r="F30" s="120">
        <f>VLOOKUP(F$6, BasicAssns[], 2,FALSE)</f>
        <v>44785</v>
      </c>
    </row>
    <row r="31" spans="1:6" x14ac:dyDescent="0.2">
      <c r="A31" s="70" t="s">
        <v>211</v>
      </c>
      <c r="B31" s="103">
        <f>+'Assumptions by State'!C34</f>
        <v>51331</v>
      </c>
      <c r="C31" s="103">
        <f>+'Assumptions by State'!C21</f>
        <v>42815</v>
      </c>
      <c r="D31" s="103">
        <f>+'Assumptions by State'!C58</f>
        <v>46608</v>
      </c>
      <c r="E31" s="108">
        <f>+'Assumptions by State'!C65</f>
        <v>46563</v>
      </c>
      <c r="F31" s="120">
        <f>VLOOKUP(F$6, BasicAssns[], 3,FALSE)</f>
        <v>51331</v>
      </c>
    </row>
    <row r="32" spans="1:6" x14ac:dyDescent="0.2">
      <c r="A32" s="70" t="s">
        <v>212</v>
      </c>
      <c r="B32" s="103">
        <f>+'Data for a Dashboard'!D29</f>
        <v>82042</v>
      </c>
      <c r="C32" s="103">
        <f>+'Data for a Dashboard'!D16</f>
        <v>48314</v>
      </c>
      <c r="D32" s="103">
        <f>+'Data for a Dashboard'!D53</f>
        <v>51349</v>
      </c>
      <c r="E32" s="108">
        <f>+'Data for a Dashboard'!D60</f>
        <v>58277</v>
      </c>
      <c r="F32" s="120">
        <f>VLOOKUP(F$6, 'Data for a Dashboard'!$A$6:$D$61, 4,FALSE)</f>
        <v>82042</v>
      </c>
    </row>
    <row r="33" spans="1:6" x14ac:dyDescent="0.2">
      <c r="A33" s="70" t="s">
        <v>207</v>
      </c>
      <c r="B33" s="103">
        <f>+'Data for a Dashboard'!B29</f>
        <v>20917</v>
      </c>
      <c r="C33" s="103">
        <f>+'Data for a Dashboard'!B16</f>
        <v>11204</v>
      </c>
      <c r="D33" s="103">
        <f>+'Data for a Dashboard'!B53</f>
        <v>10746</v>
      </c>
      <c r="E33" s="108">
        <f>+'Data for a Dashboard'!B60</f>
        <v>14582</v>
      </c>
      <c r="F33" s="120">
        <f>VLOOKUP(F$6, 'Data for a Dashboard'!$A$6:$D$61, 2,FALSE)</f>
        <v>20917</v>
      </c>
    </row>
    <row r="34" spans="1:6" x14ac:dyDescent="0.2">
      <c r="A34" s="70" t="s">
        <v>208</v>
      </c>
      <c r="B34" s="103">
        <f>+'Data for a Dashboard'!C29</f>
        <v>17748</v>
      </c>
      <c r="C34" s="103">
        <f>+'Data for a Dashboard'!C16</f>
        <v>9645</v>
      </c>
      <c r="D34" s="103">
        <f>+'Data for a Dashboard'!C53</f>
        <v>9868</v>
      </c>
      <c r="E34" s="108">
        <f>+'Data for a Dashboard'!C60</f>
        <v>12598</v>
      </c>
      <c r="F34" s="120">
        <f>VLOOKUP(F$6, 'Data for a Dashboard'!$A$6:$D$61, 3,FALSE)</f>
        <v>17748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DD92A-4A40-0F41-9240-26366658648D}">
  <dimension ref="A1:G70"/>
  <sheetViews>
    <sheetView zoomScale="125" workbookViewId="0">
      <selection activeCell="B47" sqref="B47"/>
    </sheetView>
  </sheetViews>
  <sheetFormatPr baseColWidth="10" defaultColWidth="11" defaultRowHeight="16" x14ac:dyDescent="0.2"/>
  <cols>
    <col min="1" max="1" width="54" customWidth="1"/>
    <col min="2" max="2" width="13" customWidth="1"/>
    <col min="3" max="3" width="13.6640625" customWidth="1"/>
    <col min="4" max="4" width="12.6640625" customWidth="1"/>
    <col min="5" max="5" width="12.33203125" customWidth="1"/>
  </cols>
  <sheetData>
    <row r="1" spans="1:7" ht="19" x14ac:dyDescent="0.25">
      <c r="A1" s="22" t="s">
        <v>0</v>
      </c>
    </row>
    <row r="2" spans="1:7" ht="19" x14ac:dyDescent="0.25">
      <c r="A2" s="22" t="s">
        <v>213</v>
      </c>
      <c r="C2" s="78"/>
      <c r="D2" s="78"/>
      <c r="E2" s="78"/>
    </row>
    <row r="3" spans="1:7" x14ac:dyDescent="0.2">
      <c r="B3" s="3" t="s">
        <v>192</v>
      </c>
      <c r="C3" s="3" t="s">
        <v>214</v>
      </c>
      <c r="D3" s="3" t="s">
        <v>215</v>
      </c>
      <c r="E3" s="3" t="s">
        <v>216</v>
      </c>
      <c r="F3" s="3" t="s">
        <v>217</v>
      </c>
    </row>
    <row r="4" spans="1:7" x14ac:dyDescent="0.2">
      <c r="A4" t="s">
        <v>218</v>
      </c>
      <c r="B4" s="42">
        <f>+Inputs!H11</f>
        <v>10200</v>
      </c>
      <c r="C4" s="42">
        <f>+B4*(1+$F4)</f>
        <v>10506</v>
      </c>
      <c r="D4" s="42">
        <f t="shared" ref="D4:E4" si="0">+C4*(1+$F4)</f>
        <v>10821.18</v>
      </c>
      <c r="E4" s="42">
        <f t="shared" si="0"/>
        <v>11145.815400000001</v>
      </c>
      <c r="F4" s="98">
        <f>+Inputs!D$27</f>
        <v>0.03</v>
      </c>
      <c r="G4" t="s">
        <v>219</v>
      </c>
    </row>
    <row r="5" spans="1:7" x14ac:dyDescent="0.2">
      <c r="A5" t="s">
        <v>220</v>
      </c>
      <c r="B5" s="42">
        <f>+Inputs!H13</f>
        <v>7700</v>
      </c>
      <c r="C5" s="42">
        <f t="shared" ref="C5:E5" si="1">+B5*(1+$F5)</f>
        <v>7931</v>
      </c>
      <c r="D5" s="42">
        <f t="shared" si="1"/>
        <v>8168.93</v>
      </c>
      <c r="E5" s="42">
        <f t="shared" si="1"/>
        <v>8413.9979000000003</v>
      </c>
      <c r="F5" s="98">
        <f>+Inputs!D$27</f>
        <v>0.03</v>
      </c>
      <c r="G5" t="s">
        <v>219</v>
      </c>
    </row>
    <row r="6" spans="1:7" x14ac:dyDescent="0.2">
      <c r="A6" t="s">
        <v>221</v>
      </c>
      <c r="B6" s="42">
        <f>+Inputs!H14</f>
        <v>10200</v>
      </c>
      <c r="C6" s="42">
        <f t="shared" ref="C6:E6" si="2">+B6*(1+$F6)</f>
        <v>10506</v>
      </c>
      <c r="D6" s="42">
        <f t="shared" si="2"/>
        <v>10821.18</v>
      </c>
      <c r="E6" s="42">
        <f t="shared" si="2"/>
        <v>11145.815400000001</v>
      </c>
      <c r="F6" s="98">
        <f>+Inputs!D$27</f>
        <v>0.03</v>
      </c>
      <c r="G6" t="s">
        <v>219</v>
      </c>
    </row>
    <row r="7" spans="1:7" x14ac:dyDescent="0.2">
      <c r="A7" t="s">
        <v>222</v>
      </c>
      <c r="B7" s="42">
        <f>+Inputs!H15</f>
        <v>13400</v>
      </c>
      <c r="C7" s="42">
        <f t="shared" ref="C7:E7" si="3">+B7*(1+$F7)</f>
        <v>13802</v>
      </c>
      <c r="D7" s="42">
        <f t="shared" si="3"/>
        <v>14216.06</v>
      </c>
      <c r="E7" s="42">
        <f t="shared" si="3"/>
        <v>14642.541799999999</v>
      </c>
      <c r="F7" s="98">
        <f>+Inputs!D$27</f>
        <v>0.03</v>
      </c>
      <c r="G7" t="s">
        <v>219</v>
      </c>
    </row>
    <row r="9" spans="1:7" x14ac:dyDescent="0.2">
      <c r="A9" t="s">
        <v>223</v>
      </c>
      <c r="B9">
        <f>+Inputs!B11</f>
        <v>120</v>
      </c>
      <c r="C9">
        <f t="shared" ref="C9:E9" si="4">+B9*(1+$F9)</f>
        <v>120</v>
      </c>
      <c r="D9">
        <f t="shared" si="4"/>
        <v>120</v>
      </c>
      <c r="E9">
        <f t="shared" si="4"/>
        <v>120</v>
      </c>
      <c r="F9" s="80">
        <v>0</v>
      </c>
      <c r="G9" t="s">
        <v>219</v>
      </c>
    </row>
    <row r="10" spans="1:7" x14ac:dyDescent="0.2">
      <c r="A10" t="s">
        <v>224</v>
      </c>
      <c r="B10">
        <f>+Inputs!B12+Inputs!B13</f>
        <v>360</v>
      </c>
      <c r="C10">
        <f t="shared" ref="C10:E10" si="5">+B10*(1+$F10)</f>
        <v>360</v>
      </c>
      <c r="D10">
        <f t="shared" si="5"/>
        <v>360</v>
      </c>
      <c r="E10">
        <f t="shared" si="5"/>
        <v>360</v>
      </c>
      <c r="F10" s="80">
        <v>0</v>
      </c>
      <c r="G10" t="s">
        <v>219</v>
      </c>
    </row>
    <row r="11" spans="1:7" x14ac:dyDescent="0.2">
      <c r="A11" t="s">
        <v>225</v>
      </c>
      <c r="B11">
        <f>+Inputs!B14</f>
        <v>240</v>
      </c>
      <c r="C11">
        <f t="shared" ref="C11:E11" si="6">+B11*(1+$F11)</f>
        <v>240</v>
      </c>
      <c r="D11">
        <f t="shared" si="6"/>
        <v>240</v>
      </c>
      <c r="E11">
        <f t="shared" si="6"/>
        <v>240</v>
      </c>
      <c r="F11" s="80">
        <v>0</v>
      </c>
      <c r="G11" t="s">
        <v>219</v>
      </c>
    </row>
    <row r="12" spans="1:7" x14ac:dyDescent="0.2">
      <c r="A12" t="s">
        <v>226</v>
      </c>
      <c r="B12">
        <f>+Inputs!B15</f>
        <v>400</v>
      </c>
      <c r="C12">
        <f t="shared" ref="C12:E12" si="7">+B12*(1+$F12)</f>
        <v>400</v>
      </c>
      <c r="D12">
        <f t="shared" si="7"/>
        <v>400</v>
      </c>
      <c r="E12">
        <f t="shared" si="7"/>
        <v>400</v>
      </c>
      <c r="F12" s="80">
        <v>0</v>
      </c>
      <c r="G12" t="s">
        <v>219</v>
      </c>
    </row>
    <row r="13" spans="1:7" x14ac:dyDescent="0.2">
      <c r="A13" t="s">
        <v>227</v>
      </c>
      <c r="B13" s="11">
        <f>SUM(B9:B12)</f>
        <v>1120</v>
      </c>
      <c r="C13" s="11">
        <f t="shared" ref="C13:E13" si="8">SUM(C9:C12)</f>
        <v>1120</v>
      </c>
      <c r="D13" s="11">
        <f t="shared" si="8"/>
        <v>1120</v>
      </c>
      <c r="E13" s="11">
        <f t="shared" si="8"/>
        <v>1120</v>
      </c>
    </row>
    <row r="15" spans="1:7" x14ac:dyDescent="0.2">
      <c r="A15" t="s">
        <v>228</v>
      </c>
      <c r="B15" s="20">
        <f>+Inputs!C16/Inputs!B16</f>
        <v>0.3482142857142857</v>
      </c>
      <c r="C15" s="20">
        <f>+B15*(1+$F15)</f>
        <v>0.3482142857142857</v>
      </c>
      <c r="D15" s="20">
        <f t="shared" ref="D15:E15" si="9">+C15*(1+$F15)</f>
        <v>0.3482142857142857</v>
      </c>
      <c r="E15" s="20">
        <f t="shared" si="9"/>
        <v>0.3482142857142857</v>
      </c>
      <c r="F15" s="80">
        <v>0</v>
      </c>
      <c r="G15" t="s">
        <v>219</v>
      </c>
    </row>
    <row r="16" spans="1:7" x14ac:dyDescent="0.2">
      <c r="A16" t="s">
        <v>229</v>
      </c>
      <c r="B16" s="20">
        <f>+Inputs!D16/Inputs!B16</f>
        <v>2.6785714285714284E-2</v>
      </c>
      <c r="C16" s="20">
        <f t="shared" ref="C16:E16" si="10">+B16*(1+$F16)</f>
        <v>2.6785714285714284E-2</v>
      </c>
      <c r="D16" s="20">
        <f t="shared" si="10"/>
        <v>2.6785714285714284E-2</v>
      </c>
      <c r="E16" s="20">
        <f t="shared" si="10"/>
        <v>2.6785714285714284E-2</v>
      </c>
      <c r="F16" s="80">
        <v>0</v>
      </c>
      <c r="G16" t="s">
        <v>219</v>
      </c>
    </row>
    <row r="17" spans="1:7" x14ac:dyDescent="0.2">
      <c r="A17" t="s">
        <v>230</v>
      </c>
      <c r="B17" s="20">
        <f>+Inputs!E16/Inputs!B16</f>
        <v>0.11428571428571428</v>
      </c>
      <c r="C17" s="20">
        <f t="shared" ref="C17:E17" si="11">+B17*(1+$F17)</f>
        <v>0.11428571428571428</v>
      </c>
      <c r="D17" s="20">
        <f t="shared" si="11"/>
        <v>0.11428571428571428</v>
      </c>
      <c r="E17" s="20">
        <f t="shared" si="11"/>
        <v>0.11428571428571428</v>
      </c>
      <c r="F17" s="80">
        <v>0</v>
      </c>
      <c r="G17" t="s">
        <v>219</v>
      </c>
    </row>
    <row r="19" spans="1:7" x14ac:dyDescent="0.2">
      <c r="A19" t="s">
        <v>231</v>
      </c>
      <c r="B19" s="34">
        <f>+'Base School Model'!B9/Inputs!E37</f>
        <v>12</v>
      </c>
      <c r="C19" s="34">
        <f t="shared" ref="C19:E19" si="12">+B19*(1+$F19)</f>
        <v>12</v>
      </c>
      <c r="D19" s="34">
        <f t="shared" si="12"/>
        <v>12</v>
      </c>
      <c r="E19" s="34">
        <f t="shared" si="12"/>
        <v>12</v>
      </c>
      <c r="F19" s="80">
        <v>0</v>
      </c>
      <c r="G19" t="s">
        <v>219</v>
      </c>
    </row>
    <row r="20" spans="1:7" x14ac:dyDescent="0.2">
      <c r="A20" t="s">
        <v>232</v>
      </c>
      <c r="B20" s="34">
        <f>+B10/Inputs!E38</f>
        <v>24</v>
      </c>
      <c r="C20" s="34">
        <f t="shared" ref="C20:E20" si="13">+B20*(1+$F20)</f>
        <v>24</v>
      </c>
      <c r="D20" s="34">
        <f t="shared" si="13"/>
        <v>24</v>
      </c>
      <c r="E20" s="34">
        <f t="shared" si="13"/>
        <v>24</v>
      </c>
      <c r="F20" s="80">
        <v>0</v>
      </c>
      <c r="G20" t="s">
        <v>219</v>
      </c>
    </row>
    <row r="21" spans="1:7" x14ac:dyDescent="0.2">
      <c r="A21" t="s">
        <v>233</v>
      </c>
      <c r="B21" s="34">
        <f>+B11/Inputs!E39</f>
        <v>16</v>
      </c>
      <c r="C21" s="34">
        <f t="shared" ref="C21:E21" si="14">+B21*(1+$F21)</f>
        <v>16</v>
      </c>
      <c r="D21" s="34">
        <f t="shared" si="14"/>
        <v>16</v>
      </c>
      <c r="E21" s="34">
        <f t="shared" si="14"/>
        <v>16</v>
      </c>
      <c r="F21" s="80">
        <v>0</v>
      </c>
      <c r="G21" t="s">
        <v>219</v>
      </c>
    </row>
    <row r="22" spans="1:7" x14ac:dyDescent="0.2">
      <c r="A22" t="s">
        <v>234</v>
      </c>
      <c r="B22" s="55">
        <f>+B12/Inputs!E39</f>
        <v>26.666666666666668</v>
      </c>
      <c r="C22" s="55">
        <f t="shared" ref="C22:E22" si="15">+B22*(1+$F22)</f>
        <v>26.666666666666668</v>
      </c>
      <c r="D22" s="55">
        <f t="shared" si="15"/>
        <v>26.666666666666668</v>
      </c>
      <c r="E22" s="55">
        <f t="shared" si="15"/>
        <v>26.666666666666668</v>
      </c>
      <c r="F22" s="80">
        <v>0</v>
      </c>
      <c r="G22" t="s">
        <v>219</v>
      </c>
    </row>
    <row r="23" spans="1:7" x14ac:dyDescent="0.2">
      <c r="B23" s="57">
        <f>SUM(B19:B22)</f>
        <v>78.666666666666671</v>
      </c>
      <c r="C23" s="57">
        <f t="shared" ref="C23:E23" si="16">SUM(C19:C22)</f>
        <v>78.666666666666671</v>
      </c>
      <c r="D23" s="57">
        <f t="shared" si="16"/>
        <v>78.666666666666671</v>
      </c>
      <c r="E23" s="57">
        <f t="shared" si="16"/>
        <v>78.666666666666671</v>
      </c>
    </row>
    <row r="24" spans="1:7" x14ac:dyDescent="0.2">
      <c r="A24" t="s">
        <v>53</v>
      </c>
      <c r="B24" s="60">
        <f>+Inputs!E32</f>
        <v>51331</v>
      </c>
      <c r="C24" s="42">
        <f>+B24*(1+$F24)</f>
        <v>52870.93</v>
      </c>
      <c r="D24" s="42">
        <f t="shared" ref="D24:E25" si="17">+C24*(1+$F24)</f>
        <v>54457.0579</v>
      </c>
      <c r="E24" s="42">
        <f t="shared" si="17"/>
        <v>56090.769636999998</v>
      </c>
      <c r="F24" s="98">
        <f>+Inputs!D$27</f>
        <v>0.03</v>
      </c>
      <c r="G24" t="s">
        <v>219</v>
      </c>
    </row>
    <row r="25" spans="1:7" x14ac:dyDescent="0.2">
      <c r="A25" t="s">
        <v>54</v>
      </c>
      <c r="B25" s="59">
        <f>+Inputs!E33</f>
        <v>0.25</v>
      </c>
      <c r="C25" s="59">
        <f>+B25*(1+$F25)</f>
        <v>0.25</v>
      </c>
      <c r="D25" s="59">
        <f t="shared" si="17"/>
        <v>0.25</v>
      </c>
      <c r="E25" s="59">
        <f t="shared" si="17"/>
        <v>0.25</v>
      </c>
      <c r="F25" s="80">
        <v>0</v>
      </c>
      <c r="G25" t="s">
        <v>219</v>
      </c>
    </row>
    <row r="26" spans="1:7" x14ac:dyDescent="0.2">
      <c r="B26" s="55"/>
      <c r="C26" s="55"/>
      <c r="D26" s="55"/>
      <c r="E26" s="55"/>
    </row>
    <row r="27" spans="1:7" x14ac:dyDescent="0.2">
      <c r="A27" t="s">
        <v>33</v>
      </c>
      <c r="B27" s="43">
        <f>+Inputs!D20</f>
        <v>0.25</v>
      </c>
      <c r="C27" s="34">
        <f t="shared" ref="C27:E27" si="18">+B27*(1+$F27)</f>
        <v>0.25</v>
      </c>
      <c r="D27" s="34">
        <f t="shared" si="18"/>
        <v>0.25</v>
      </c>
      <c r="E27" s="34">
        <f t="shared" si="18"/>
        <v>0.25</v>
      </c>
      <c r="F27" s="80">
        <v>0</v>
      </c>
      <c r="G27" t="s">
        <v>219</v>
      </c>
    </row>
    <row r="28" spans="1:7" x14ac:dyDescent="0.2">
      <c r="A28" t="s">
        <v>235</v>
      </c>
      <c r="B28" s="40">
        <f>+B23*Inputs!D20</f>
        <v>19.666666666666668</v>
      </c>
      <c r="C28" s="55">
        <f t="shared" ref="C28:E28" si="19">+B28*(1+$F28)</f>
        <v>19.666666666666668</v>
      </c>
      <c r="D28" s="55">
        <f t="shared" si="19"/>
        <v>19.666666666666668</v>
      </c>
      <c r="E28" s="55">
        <f t="shared" si="19"/>
        <v>19.666666666666668</v>
      </c>
      <c r="F28" s="80">
        <v>0</v>
      </c>
      <c r="G28" t="s">
        <v>219</v>
      </c>
    </row>
    <row r="29" spans="1:7" x14ac:dyDescent="0.2">
      <c r="A29" t="s">
        <v>35</v>
      </c>
      <c r="B29" s="42">
        <f>+Inputs!D21</f>
        <v>75000</v>
      </c>
      <c r="C29" s="42">
        <f t="shared" ref="C29:E29" si="20">+B29*(1+$F29)</f>
        <v>77250</v>
      </c>
      <c r="D29" s="42">
        <f t="shared" si="20"/>
        <v>79567.5</v>
      </c>
      <c r="E29" s="42">
        <f t="shared" si="20"/>
        <v>81954.525000000009</v>
      </c>
      <c r="F29" s="98">
        <f>+Inputs!D$27</f>
        <v>0.03</v>
      </c>
      <c r="G29" t="s">
        <v>219</v>
      </c>
    </row>
    <row r="30" spans="1:7" x14ac:dyDescent="0.2">
      <c r="A30" t="s">
        <v>41</v>
      </c>
      <c r="B30" s="42">
        <f>+Inputs!D24</f>
        <v>1000</v>
      </c>
      <c r="C30" s="42">
        <f t="shared" ref="C30:E30" si="21">+B30*(1+$F30)</f>
        <v>1030</v>
      </c>
      <c r="D30" s="42">
        <f t="shared" si="21"/>
        <v>1060.9000000000001</v>
      </c>
      <c r="E30" s="42">
        <f t="shared" si="21"/>
        <v>1092.7270000000001</v>
      </c>
      <c r="F30" s="98">
        <f>+Inputs!D$27</f>
        <v>0.03</v>
      </c>
      <c r="G30" t="s">
        <v>219</v>
      </c>
    </row>
    <row r="32" spans="1:7" x14ac:dyDescent="0.2">
      <c r="A32" t="s">
        <v>59</v>
      </c>
      <c r="B32" s="42">
        <f>+Inputs!E41</f>
        <v>846.29999999999984</v>
      </c>
      <c r="C32" s="42">
        <f t="shared" ref="C32:E32" si="22">+B32*(1+$F32)</f>
        <v>871.68899999999985</v>
      </c>
      <c r="D32" s="42">
        <f t="shared" si="22"/>
        <v>897.83966999999984</v>
      </c>
      <c r="E32" s="42">
        <f t="shared" si="22"/>
        <v>924.77486009999984</v>
      </c>
      <c r="F32" s="98">
        <f>+Inputs!D$27</f>
        <v>0.03</v>
      </c>
      <c r="G32" t="s">
        <v>219</v>
      </c>
    </row>
    <row r="33" spans="1:7" x14ac:dyDescent="0.2">
      <c r="A33" t="s">
        <v>60</v>
      </c>
      <c r="B33" s="42">
        <f>+Inputs!E42</f>
        <v>846.29999999999984</v>
      </c>
      <c r="C33" s="42">
        <f t="shared" ref="C33:E33" si="23">+B33*(1+$F33)</f>
        <v>871.68899999999985</v>
      </c>
      <c r="D33" s="42">
        <f t="shared" si="23"/>
        <v>897.83966999999984</v>
      </c>
      <c r="E33" s="42">
        <f t="shared" si="23"/>
        <v>924.77486009999984</v>
      </c>
      <c r="F33" s="98">
        <f>+Inputs!D$27</f>
        <v>0.03</v>
      </c>
      <c r="G33" t="s">
        <v>219</v>
      </c>
    </row>
    <row r="34" spans="1:7" x14ac:dyDescent="0.2">
      <c r="A34" t="s">
        <v>61</v>
      </c>
      <c r="B34" s="42">
        <f>+Inputs!E43</f>
        <v>5207.9999999999991</v>
      </c>
      <c r="C34" s="42">
        <f t="shared" ref="C34:E34" si="24">+B34*(1+$F34)</f>
        <v>5364.2399999999989</v>
      </c>
      <c r="D34" s="42">
        <f t="shared" si="24"/>
        <v>5525.167199999999</v>
      </c>
      <c r="E34" s="42">
        <f t="shared" si="24"/>
        <v>5690.922215999999</v>
      </c>
      <c r="F34" s="98">
        <f>+Inputs!D$27</f>
        <v>0.03</v>
      </c>
      <c r="G34" t="s">
        <v>219</v>
      </c>
    </row>
    <row r="35" spans="1:7" x14ac:dyDescent="0.2">
      <c r="B35" s="42"/>
      <c r="C35" s="20"/>
      <c r="D35" s="20"/>
      <c r="E35" s="20"/>
    </row>
    <row r="36" spans="1:7" x14ac:dyDescent="0.2">
      <c r="B36" s="3" t="s">
        <v>192</v>
      </c>
      <c r="C36" s="3" t="s">
        <v>214</v>
      </c>
      <c r="D36" s="3" t="s">
        <v>215</v>
      </c>
      <c r="E36" s="3" t="s">
        <v>216</v>
      </c>
    </row>
    <row r="37" spans="1:7" x14ac:dyDescent="0.2">
      <c r="A37" t="s">
        <v>236</v>
      </c>
      <c r="B37" s="38">
        <f>+(B4*B9)</f>
        <v>1224000</v>
      </c>
      <c r="C37" s="38">
        <f>+C9*C4</f>
        <v>1260720</v>
      </c>
      <c r="D37" s="38">
        <f t="shared" ref="C37:E40" si="25">+D9*D4</f>
        <v>1298541.6000000001</v>
      </c>
      <c r="E37" s="38">
        <f t="shared" si="25"/>
        <v>1337497.8480000002</v>
      </c>
    </row>
    <row r="38" spans="1:7" x14ac:dyDescent="0.2">
      <c r="A38" t="s">
        <v>237</v>
      </c>
      <c r="B38" s="38">
        <f>+(B5*B10)</f>
        <v>2772000</v>
      </c>
      <c r="C38" s="38">
        <f t="shared" si="25"/>
        <v>2855160</v>
      </c>
      <c r="D38" s="38">
        <f t="shared" si="25"/>
        <v>2940814.8000000003</v>
      </c>
      <c r="E38" s="38">
        <f t="shared" si="25"/>
        <v>3029039.2439999999</v>
      </c>
    </row>
    <row r="39" spans="1:7" x14ac:dyDescent="0.2">
      <c r="A39" t="s">
        <v>238</v>
      </c>
      <c r="B39" s="38">
        <f>+B11*B6</f>
        <v>2448000</v>
      </c>
      <c r="C39" s="38">
        <f t="shared" si="25"/>
        <v>2521440</v>
      </c>
      <c r="D39" s="38">
        <f t="shared" si="25"/>
        <v>2597083.2000000002</v>
      </c>
      <c r="E39" s="38">
        <f t="shared" si="25"/>
        <v>2674995.6960000005</v>
      </c>
    </row>
    <row r="40" spans="1:7" x14ac:dyDescent="0.2">
      <c r="A40" t="s">
        <v>239</v>
      </c>
      <c r="B40" s="38">
        <f>+B7*B12</f>
        <v>5360000</v>
      </c>
      <c r="C40" s="38">
        <f t="shared" si="25"/>
        <v>5520800</v>
      </c>
      <c r="D40" s="38">
        <f t="shared" si="25"/>
        <v>5686424</v>
      </c>
      <c r="E40" s="38">
        <f t="shared" si="25"/>
        <v>5857016.7199999997</v>
      </c>
    </row>
    <row r="41" spans="1:7" x14ac:dyDescent="0.2">
      <c r="A41" t="s">
        <v>240</v>
      </c>
      <c r="B41" s="39">
        <f>SUM(B37:B40)</f>
        <v>11804000</v>
      </c>
      <c r="C41" s="39">
        <f t="shared" ref="C41:E41" si="26">SUM(C37:C40)</f>
        <v>12158120</v>
      </c>
      <c r="D41" s="39">
        <f t="shared" si="26"/>
        <v>12522863.600000001</v>
      </c>
      <c r="E41" s="39">
        <f t="shared" si="26"/>
        <v>12898549.508000001</v>
      </c>
    </row>
    <row r="42" spans="1:7" x14ac:dyDescent="0.2">
      <c r="A42" t="s">
        <v>241</v>
      </c>
      <c r="B42" s="38">
        <f>-((Inputs!L11*Inputs!B11)+(Inputs!L12*Inputs!B12)+(Inputs!L13*Inputs!B13)+(Inputs!L14*Inputs!B14)+(Inputs!L15*Inputs!B15))</f>
        <v>-5670000</v>
      </c>
      <c r="C42" s="38">
        <f>+(B42/B$13)*(1+$F42)*C$13</f>
        <v>-5840100</v>
      </c>
      <c r="D42" s="38">
        <f>+(C42/C$13)*(1+$F42)*D$13</f>
        <v>-6015303.0000000009</v>
      </c>
      <c r="E42" s="38">
        <f>+(D42/D$13)*(1+$F42)*E$13</f>
        <v>-6195762.0900000008</v>
      </c>
      <c r="F42" s="98">
        <f>+Inputs!D$27</f>
        <v>0.03</v>
      </c>
      <c r="G42" t="s">
        <v>219</v>
      </c>
    </row>
    <row r="43" spans="1:7" x14ac:dyDescent="0.2">
      <c r="A43" t="s">
        <v>242</v>
      </c>
      <c r="B43" s="38">
        <f>-((Inputs!I11*Inputs!C11)+(Inputs!C12*Inputs!I12)+(Inputs!C13*Inputs!I13)+(Inputs!C14*Inputs!I14)+(Inputs!C15*Inputs!I15))</f>
        <v>-105300</v>
      </c>
      <c r="C43" s="38">
        <f t="shared" ref="C43:E45" si="27">IF(C15=0,0,(B43/(B$13*B15))*(1+$F43)*(C$13*C15))</f>
        <v>-107405.99999999999</v>
      </c>
      <c r="D43" s="38">
        <f t="shared" si="27"/>
        <v>-109554.11999999998</v>
      </c>
      <c r="E43" s="38">
        <f t="shared" si="27"/>
        <v>-111745.20239999998</v>
      </c>
      <c r="F43" s="98">
        <f>+Inputs!D$28</f>
        <v>0.02</v>
      </c>
      <c r="G43" t="s">
        <v>219</v>
      </c>
    </row>
    <row r="44" spans="1:7" x14ac:dyDescent="0.2">
      <c r="A44" t="s">
        <v>243</v>
      </c>
      <c r="B44" s="38">
        <f>-((Inputs!J11*Inputs!D11))</f>
        <v>-295200</v>
      </c>
      <c r="C44" s="38">
        <f t="shared" si="27"/>
        <v>-301104</v>
      </c>
      <c r="D44" s="38">
        <f t="shared" si="27"/>
        <v>-307126.08</v>
      </c>
      <c r="E44" s="38">
        <f t="shared" si="27"/>
        <v>-313268.60159999999</v>
      </c>
      <c r="F44" s="98">
        <f>+Inputs!D$28</f>
        <v>0.02</v>
      </c>
      <c r="G44" t="s">
        <v>219</v>
      </c>
    </row>
    <row r="45" spans="1:7" x14ac:dyDescent="0.2">
      <c r="A45" t="s">
        <v>244</v>
      </c>
      <c r="B45" s="38">
        <f>-((Inputs!K12*Inputs!E12)+(Inputs!K13*Inputs!E13)+(Inputs!K14*Inputs!E14)+(Inputs!K15*Inputs!E15))</f>
        <v>0</v>
      </c>
      <c r="C45" s="38">
        <f t="shared" si="27"/>
        <v>0</v>
      </c>
      <c r="D45" s="38">
        <f t="shared" si="27"/>
        <v>0</v>
      </c>
      <c r="E45" s="38">
        <f t="shared" si="27"/>
        <v>0</v>
      </c>
      <c r="F45" s="98">
        <f>+Inputs!D$28</f>
        <v>0.02</v>
      </c>
      <c r="G45" t="s">
        <v>219</v>
      </c>
    </row>
    <row r="46" spans="1:7" x14ac:dyDescent="0.2">
      <c r="A46" t="s">
        <v>245</v>
      </c>
      <c r="B46" s="39">
        <f>+B42+B41</f>
        <v>6134000</v>
      </c>
      <c r="C46" s="39">
        <f t="shared" ref="C46:E46" si="28">+C42+C41</f>
        <v>6318020</v>
      </c>
      <c r="D46" s="39">
        <f t="shared" si="28"/>
        <v>6507560.6000000006</v>
      </c>
      <c r="E46" s="39">
        <f t="shared" si="28"/>
        <v>6702787.4180000005</v>
      </c>
    </row>
    <row r="47" spans="1:7" x14ac:dyDescent="0.2">
      <c r="A47" t="s">
        <v>246</v>
      </c>
      <c r="B47" s="40">
        <f>-B45-B44-B43</f>
        <v>400500</v>
      </c>
      <c r="C47" s="40">
        <f>-C45-C44-C43</f>
        <v>408510</v>
      </c>
      <c r="D47" s="40">
        <f>-D45-D44-D43</f>
        <v>416680.2</v>
      </c>
      <c r="E47" s="40">
        <f>-E45-E44-E43</f>
        <v>425013.804</v>
      </c>
    </row>
    <row r="48" spans="1:7" x14ac:dyDescent="0.2">
      <c r="A48" t="s">
        <v>247</v>
      </c>
      <c r="B48" s="77">
        <f>+B47+B46</f>
        <v>6534500</v>
      </c>
      <c r="C48" s="77">
        <f t="shared" ref="C48:E48" si="29">+C47+C46</f>
        <v>6726530</v>
      </c>
      <c r="D48" s="77">
        <f t="shared" si="29"/>
        <v>6924240.8000000007</v>
      </c>
      <c r="E48" s="77">
        <f t="shared" si="29"/>
        <v>7127801.222000001</v>
      </c>
    </row>
    <row r="49" spans="1:7" x14ac:dyDescent="0.2">
      <c r="B49" s="40"/>
      <c r="C49" s="40"/>
      <c r="D49" s="40"/>
      <c r="E49" s="40"/>
    </row>
    <row r="50" spans="1:7" x14ac:dyDescent="0.2">
      <c r="A50" t="s">
        <v>29</v>
      </c>
      <c r="B50" s="38">
        <f>+Inputs!D18</f>
        <v>500000</v>
      </c>
      <c r="C50" s="38">
        <f t="shared" ref="C50:E50" si="30">+B50*(1+$F50)</f>
        <v>515000</v>
      </c>
      <c r="D50" s="38">
        <f t="shared" si="30"/>
        <v>530450</v>
      </c>
      <c r="E50" s="38">
        <f t="shared" si="30"/>
        <v>546363.5</v>
      </c>
      <c r="F50" s="98">
        <f>+Inputs!D$27</f>
        <v>0.03</v>
      </c>
      <c r="G50" t="s">
        <v>219</v>
      </c>
    </row>
    <row r="51" spans="1:7" x14ac:dyDescent="0.2">
      <c r="A51" t="s">
        <v>31</v>
      </c>
      <c r="B51" s="38">
        <f>+Inputs!D19</f>
        <v>200000</v>
      </c>
      <c r="C51" s="38">
        <f t="shared" ref="C51:E51" si="31">+B51*(1+$F51)</f>
        <v>206000</v>
      </c>
      <c r="D51" s="38">
        <f t="shared" si="31"/>
        <v>212180</v>
      </c>
      <c r="E51" s="38">
        <f t="shared" si="31"/>
        <v>218545.4</v>
      </c>
      <c r="F51" s="98">
        <f>+Inputs!D$27</f>
        <v>0.03</v>
      </c>
      <c r="G51" t="s">
        <v>219</v>
      </c>
    </row>
    <row r="52" spans="1:7" x14ac:dyDescent="0.2">
      <c r="A52" s="21" t="s">
        <v>248</v>
      </c>
      <c r="B52" s="41">
        <f>SUM(B48:B51)</f>
        <v>7234500</v>
      </c>
      <c r="C52" s="41">
        <f t="shared" ref="C52:E52" si="32">SUM(C48:C51)</f>
        <v>7447530</v>
      </c>
      <c r="D52" s="41">
        <f t="shared" si="32"/>
        <v>7666870.8000000007</v>
      </c>
      <c r="E52" s="41">
        <f t="shared" si="32"/>
        <v>7892710.1220000014</v>
      </c>
    </row>
    <row r="54" spans="1:7" x14ac:dyDescent="0.2">
      <c r="A54" t="s">
        <v>249</v>
      </c>
      <c r="B54" s="38">
        <f>+B24*B23</f>
        <v>4038038.666666667</v>
      </c>
      <c r="C54" s="38">
        <f t="shared" ref="C54:E54" si="33">+C24*C23</f>
        <v>4159179.8266666671</v>
      </c>
      <c r="D54" s="38">
        <f t="shared" si="33"/>
        <v>4283955.221466667</v>
      </c>
      <c r="E54" s="38">
        <f t="shared" si="33"/>
        <v>4412473.8781106668</v>
      </c>
      <c r="F54" s="75"/>
    </row>
    <row r="55" spans="1:7" x14ac:dyDescent="0.2">
      <c r="A55" t="s">
        <v>250</v>
      </c>
      <c r="B55" s="38">
        <f>+B29*B28</f>
        <v>1475000</v>
      </c>
      <c r="C55" s="38">
        <f t="shared" ref="C55:E55" si="34">+C29*C28</f>
        <v>1519250</v>
      </c>
      <c r="D55" s="38">
        <f t="shared" si="34"/>
        <v>1564827.5</v>
      </c>
      <c r="E55" s="38">
        <f t="shared" si="34"/>
        <v>1611772.3250000002</v>
      </c>
      <c r="F55" s="75"/>
    </row>
    <row r="56" spans="1:7" x14ac:dyDescent="0.2">
      <c r="A56" t="s">
        <v>251</v>
      </c>
      <c r="B56" s="38">
        <f>+(B54+B55)*B25</f>
        <v>1378259.6666666667</v>
      </c>
      <c r="C56" s="38">
        <f t="shared" ref="C56:E56" si="35">+(C54+C55)*C25</f>
        <v>1419607.4566666668</v>
      </c>
      <c r="D56" s="38">
        <f t="shared" si="35"/>
        <v>1462195.6803666668</v>
      </c>
      <c r="E56" s="38">
        <f t="shared" si="35"/>
        <v>1506061.5507776667</v>
      </c>
      <c r="F56" s="75"/>
    </row>
    <row r="57" spans="1:7" x14ac:dyDescent="0.2">
      <c r="A57" t="s">
        <v>252</v>
      </c>
      <c r="B57" s="39">
        <f>SUM(B54:B56)</f>
        <v>6891298.333333334</v>
      </c>
      <c r="C57" s="39">
        <f>SUM(C54:C56)</f>
        <v>7098037.2833333341</v>
      </c>
      <c r="D57" s="39">
        <f>SUM(D54:D56)</f>
        <v>7310978.401833334</v>
      </c>
      <c r="E57" s="39">
        <f>SUM(E54:E56)</f>
        <v>7530307.7538883332</v>
      </c>
    </row>
    <row r="58" spans="1:7" x14ac:dyDescent="0.2">
      <c r="B58" s="38"/>
      <c r="C58" s="38"/>
      <c r="D58" s="38"/>
      <c r="E58" s="38"/>
    </row>
    <row r="59" spans="1:7" x14ac:dyDescent="0.2">
      <c r="A59" t="s">
        <v>253</v>
      </c>
      <c r="B59" s="38">
        <f>+(B32*(B9+B10))+(B33*B11)+(B12*B34)</f>
        <v>2692535.9999999995</v>
      </c>
      <c r="C59" s="38">
        <f t="shared" ref="C59:E59" si="36">+(C32*(C9+C10))+(C33*C11)+(C12*C34)</f>
        <v>2773312.0799999991</v>
      </c>
      <c r="D59" s="38">
        <f t="shared" si="36"/>
        <v>2856511.4423999991</v>
      </c>
      <c r="E59" s="38">
        <f t="shared" si="36"/>
        <v>2942206.7856719997</v>
      </c>
    </row>
    <row r="60" spans="1:7" x14ac:dyDescent="0.2">
      <c r="A60" t="s">
        <v>254</v>
      </c>
      <c r="B60" s="38">
        <f>+B30*B13</f>
        <v>1120000</v>
      </c>
      <c r="C60" s="38">
        <f t="shared" ref="C60:E60" si="37">+C30*C13</f>
        <v>1153600</v>
      </c>
      <c r="D60" s="38">
        <f t="shared" si="37"/>
        <v>1188208</v>
      </c>
      <c r="E60" s="38">
        <f t="shared" si="37"/>
        <v>1223854.24</v>
      </c>
    </row>
    <row r="61" spans="1:7" x14ac:dyDescent="0.2">
      <c r="A61" t="s">
        <v>43</v>
      </c>
      <c r="B61" s="38">
        <f>+Inputs!D25</f>
        <v>300000</v>
      </c>
      <c r="C61" s="38">
        <f t="shared" ref="C61:C62" si="38">+B61*(1+$F61)</f>
        <v>309000</v>
      </c>
      <c r="D61" s="38">
        <f t="shared" ref="D61:D62" si="39">+C61*(1+$F61)</f>
        <v>318270</v>
      </c>
      <c r="E61" s="38">
        <f t="shared" ref="E61:E62" si="40">+D61*(1+$F61)</f>
        <v>327818.10000000003</v>
      </c>
      <c r="F61" s="98">
        <f>+Inputs!D$27</f>
        <v>0.03</v>
      </c>
      <c r="G61" t="s">
        <v>219</v>
      </c>
    </row>
    <row r="62" spans="1:7" x14ac:dyDescent="0.2">
      <c r="A62" t="s">
        <v>255</v>
      </c>
      <c r="B62" s="38">
        <f>+Inputs!D23</f>
        <v>50000</v>
      </c>
      <c r="C62" s="38">
        <f t="shared" si="38"/>
        <v>50000</v>
      </c>
      <c r="D62" s="38">
        <f t="shared" si="39"/>
        <v>50000</v>
      </c>
      <c r="E62" s="38">
        <f t="shared" si="40"/>
        <v>50000</v>
      </c>
      <c r="F62" s="80">
        <v>0</v>
      </c>
      <c r="G62" t="s">
        <v>219</v>
      </c>
    </row>
    <row r="63" spans="1:7" x14ac:dyDescent="0.2">
      <c r="A63" s="21" t="s">
        <v>256</v>
      </c>
      <c r="B63" s="41">
        <f>SUM(B57:B62)</f>
        <v>11053834.333333334</v>
      </c>
      <c r="C63" s="41">
        <f t="shared" ref="C63:E63" si="41">SUM(C57:C62)</f>
        <v>11383949.363333333</v>
      </c>
      <c r="D63" s="41">
        <f t="shared" si="41"/>
        <v>11723967.844233334</v>
      </c>
      <c r="E63" s="41">
        <f t="shared" si="41"/>
        <v>12074186.879560333</v>
      </c>
    </row>
    <row r="64" spans="1:7" x14ac:dyDescent="0.2">
      <c r="B64" s="38"/>
      <c r="C64" s="38"/>
      <c r="D64" s="38"/>
      <c r="E64" s="38"/>
    </row>
    <row r="65" spans="1:7" ht="17" thickBot="1" x14ac:dyDescent="0.25">
      <c r="A65" s="21" t="s">
        <v>257</v>
      </c>
      <c r="B65" s="46">
        <f>+B52-B63</f>
        <v>-3819334.333333334</v>
      </c>
      <c r="C65" s="46">
        <f>+C52-C63</f>
        <v>-3936419.3633333333</v>
      </c>
      <c r="D65" s="46">
        <f>+D52-D63</f>
        <v>-4057097.0442333333</v>
      </c>
      <c r="E65" s="46">
        <f>+E52-E63</f>
        <v>-4181476.7575603314</v>
      </c>
    </row>
    <row r="66" spans="1:7" ht="17" thickTop="1" x14ac:dyDescent="0.2"/>
    <row r="67" spans="1:7" x14ac:dyDescent="0.2">
      <c r="A67" t="s">
        <v>258</v>
      </c>
      <c r="B67" s="38">
        <f>+Inputs!$E45/40</f>
        <v>250000</v>
      </c>
      <c r="C67" s="38">
        <f>+Inputs!$E45/40</f>
        <v>250000</v>
      </c>
      <c r="D67" s="38">
        <f>+Inputs!$E45/40</f>
        <v>250000</v>
      </c>
      <c r="E67" s="38">
        <f>+Inputs!$E45/40</f>
        <v>250000</v>
      </c>
      <c r="G67" t="s">
        <v>259</v>
      </c>
    </row>
    <row r="68" spans="1:7" x14ac:dyDescent="0.2">
      <c r="A68" t="s">
        <v>260</v>
      </c>
      <c r="B68" s="38">
        <f>+Inputs!$E46/7</f>
        <v>285714.28571428574</v>
      </c>
      <c r="C68" s="38">
        <f>+B68*(1+$F68)</f>
        <v>294285.71428571432</v>
      </c>
      <c r="D68" s="38">
        <f t="shared" ref="D68:E68" si="42">+C68*(1+$F68)</f>
        <v>303114.28571428574</v>
      </c>
      <c r="E68" s="38">
        <f t="shared" si="42"/>
        <v>312207.71428571432</v>
      </c>
      <c r="F68" s="98">
        <f>+Inputs!D27</f>
        <v>0.03</v>
      </c>
      <c r="G68" t="s">
        <v>219</v>
      </c>
    </row>
    <row r="69" spans="1:7" ht="17" thickBot="1" x14ac:dyDescent="0.25">
      <c r="A69" s="21" t="s">
        <v>261</v>
      </c>
      <c r="B69" s="46">
        <f>+B68+B67</f>
        <v>535714.28571428568</v>
      </c>
      <c r="C69" s="46">
        <f t="shared" ref="C69:E69" si="43">+C68+C67</f>
        <v>544285.71428571432</v>
      </c>
      <c r="D69" s="46">
        <f t="shared" si="43"/>
        <v>553114.28571428568</v>
      </c>
      <c r="E69" s="46">
        <f t="shared" si="43"/>
        <v>562207.71428571432</v>
      </c>
    </row>
    <row r="70" spans="1:7" ht="17" thickTop="1" x14ac:dyDescent="0.2">
      <c r="A70" s="21"/>
    </row>
  </sheetData>
  <pageMargins left="0.7" right="0.7" top="0.75" bottom="0.75" header="0.3" footer="0.3"/>
  <ignoredErrors>
    <ignoredError sqref="C23:E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69D7-96A0-EC4D-8588-FDC43636870B}">
  <dimension ref="A4:N78"/>
  <sheetViews>
    <sheetView topLeftCell="A27" zoomScale="150" workbookViewId="0">
      <selection activeCell="E34" sqref="E34"/>
    </sheetView>
  </sheetViews>
  <sheetFormatPr baseColWidth="10" defaultColWidth="11" defaultRowHeight="16" x14ac:dyDescent="0.2"/>
  <cols>
    <col min="1" max="1" width="23.1640625" customWidth="1"/>
    <col min="2" max="3" width="12.33203125" customWidth="1"/>
    <col min="4" max="4" width="11.5" customWidth="1"/>
    <col min="5" max="5" width="14" customWidth="1"/>
    <col min="6" max="6" width="13.33203125" customWidth="1"/>
    <col min="7" max="7" width="12.6640625" customWidth="1"/>
    <col min="8" max="9" width="12" customWidth="1"/>
    <col min="10" max="10" width="12.83203125" customWidth="1"/>
    <col min="11" max="11" width="12.33203125" customWidth="1"/>
  </cols>
  <sheetData>
    <row r="4" spans="1:14" x14ac:dyDescent="0.2">
      <c r="A4" s="1" t="s">
        <v>262</v>
      </c>
    </row>
    <row r="5" spans="1:14" x14ac:dyDescent="0.2">
      <c r="A5" s="10" t="s">
        <v>263</v>
      </c>
      <c r="B5" s="45">
        <v>650</v>
      </c>
      <c r="C5" s="89" t="s">
        <v>264</v>
      </c>
    </row>
    <row r="6" spans="1:14" x14ac:dyDescent="0.2">
      <c r="A6" s="10" t="s">
        <v>265</v>
      </c>
      <c r="B6" s="45">
        <v>650</v>
      </c>
      <c r="C6" s="89" t="s">
        <v>264</v>
      </c>
    </row>
    <row r="7" spans="1:14" x14ac:dyDescent="0.2">
      <c r="A7" s="10" t="s">
        <v>266</v>
      </c>
      <c r="B7" s="45">
        <v>4000</v>
      </c>
      <c r="C7" s="89" t="s">
        <v>267</v>
      </c>
    </row>
    <row r="8" spans="1:14" x14ac:dyDescent="0.2">
      <c r="A8" s="10"/>
    </row>
    <row r="9" spans="1:14" x14ac:dyDescent="0.2">
      <c r="A9" s="10" t="s">
        <v>268</v>
      </c>
      <c r="B9" s="68" t="s">
        <v>269</v>
      </c>
      <c r="C9" s="68" t="s">
        <v>270</v>
      </c>
      <c r="D9" s="68" t="s">
        <v>271</v>
      </c>
      <c r="E9" s="68" t="s">
        <v>272</v>
      </c>
      <c r="F9" s="68" t="s">
        <v>273</v>
      </c>
      <c r="G9" s="68" t="s">
        <v>274</v>
      </c>
      <c r="H9" s="68" t="s">
        <v>275</v>
      </c>
      <c r="I9" s="68" t="s">
        <v>276</v>
      </c>
      <c r="J9" s="68" t="s">
        <v>277</v>
      </c>
      <c r="K9" s="68" t="s">
        <v>278</v>
      </c>
    </row>
    <row r="10" spans="1:14" ht="63" customHeight="1" x14ac:dyDescent="0.2">
      <c r="A10" t="s">
        <v>279</v>
      </c>
      <c r="B10" s="2" t="s">
        <v>280</v>
      </c>
      <c r="C10" s="2" t="s">
        <v>281</v>
      </c>
      <c r="D10" s="2" t="s">
        <v>282</v>
      </c>
      <c r="E10" s="2" t="s">
        <v>283</v>
      </c>
      <c r="F10" s="2" t="s">
        <v>284</v>
      </c>
      <c r="G10" s="2" t="s">
        <v>285</v>
      </c>
      <c r="H10" s="2" t="s">
        <v>286</v>
      </c>
      <c r="I10" s="2" t="s">
        <v>287</v>
      </c>
      <c r="J10" s="2" t="s">
        <v>288</v>
      </c>
      <c r="K10" s="2" t="s">
        <v>289</v>
      </c>
      <c r="L10" s="2"/>
      <c r="M10" s="2"/>
      <c r="N10" s="2"/>
    </row>
    <row r="11" spans="1:14" x14ac:dyDescent="0.2">
      <c r="A11" s="9" t="s">
        <v>290</v>
      </c>
      <c r="B11" s="84">
        <v>31010</v>
      </c>
      <c r="C11" s="85">
        <v>42970</v>
      </c>
      <c r="D11" s="75">
        <v>0.25</v>
      </c>
      <c r="E11" s="68">
        <v>87.5</v>
      </c>
      <c r="F11" s="68">
        <v>18</v>
      </c>
      <c r="G11" s="68">
        <v>21</v>
      </c>
      <c r="H11" s="68">
        <v>22</v>
      </c>
      <c r="I11" s="92">
        <v>322</v>
      </c>
      <c r="J11" s="94">
        <v>5810</v>
      </c>
      <c r="K11" s="38">
        <v>6402</v>
      </c>
      <c r="L11" s="81"/>
      <c r="M11" s="81"/>
    </row>
    <row r="12" spans="1:14" x14ac:dyDescent="0.2">
      <c r="A12" s="9" t="s">
        <v>291</v>
      </c>
      <c r="B12" s="84">
        <v>39234</v>
      </c>
      <c r="C12" s="85">
        <v>49980</v>
      </c>
      <c r="D12" s="75">
        <v>0.25</v>
      </c>
      <c r="E12" s="68">
        <v>127.3</v>
      </c>
      <c r="F12" s="68">
        <v>10</v>
      </c>
      <c r="G12" s="68">
        <v>14</v>
      </c>
      <c r="H12" s="68">
        <v>18</v>
      </c>
      <c r="I12" s="92">
        <v>464</v>
      </c>
      <c r="J12" s="94">
        <v>7000</v>
      </c>
      <c r="K12" s="38"/>
      <c r="L12" s="81"/>
      <c r="M12" s="81"/>
    </row>
    <row r="13" spans="1:14" x14ac:dyDescent="0.2">
      <c r="A13" s="9" t="s">
        <v>292</v>
      </c>
      <c r="B13" s="84">
        <v>35428</v>
      </c>
      <c r="C13" s="85">
        <v>46496</v>
      </c>
      <c r="D13" s="75">
        <v>0.25</v>
      </c>
      <c r="E13" s="68">
        <v>106.7</v>
      </c>
      <c r="F13" s="68">
        <v>15</v>
      </c>
      <c r="G13" s="68">
        <v>20</v>
      </c>
      <c r="H13" s="68">
        <v>20</v>
      </c>
      <c r="I13" s="92">
        <v>214</v>
      </c>
      <c r="J13" s="94">
        <v>1800</v>
      </c>
      <c r="K13" s="38"/>
      <c r="L13" s="81"/>
      <c r="M13" s="81"/>
    </row>
    <row r="14" spans="1:14" x14ac:dyDescent="0.2">
      <c r="A14" s="9" t="s">
        <v>293</v>
      </c>
      <c r="B14" s="84">
        <v>34713</v>
      </c>
      <c r="C14" s="85">
        <v>42541</v>
      </c>
      <c r="D14" s="75">
        <v>0.25</v>
      </c>
      <c r="E14" s="68">
        <v>89.9</v>
      </c>
      <c r="F14" s="68">
        <v>15</v>
      </c>
      <c r="G14" s="68">
        <v>20</v>
      </c>
      <c r="H14" s="68">
        <v>20</v>
      </c>
      <c r="I14" s="92">
        <v>291</v>
      </c>
      <c r="J14" s="94">
        <v>5160</v>
      </c>
      <c r="K14" s="38">
        <v>7018</v>
      </c>
      <c r="L14" s="81"/>
      <c r="M14" s="81"/>
    </row>
    <row r="15" spans="1:14" x14ac:dyDescent="0.2">
      <c r="A15" s="9" t="s">
        <v>294</v>
      </c>
      <c r="B15" s="85">
        <v>36539</v>
      </c>
      <c r="C15" s="85">
        <v>48944</v>
      </c>
      <c r="D15" s="75">
        <v>0.25</v>
      </c>
      <c r="E15" s="90">
        <v>91.77</v>
      </c>
      <c r="F15" s="68">
        <v>12</v>
      </c>
      <c r="G15" s="68">
        <v>14</v>
      </c>
      <c r="H15" s="68">
        <v>14</v>
      </c>
      <c r="I15" s="84">
        <v>300</v>
      </c>
      <c r="J15" s="94">
        <v>5110</v>
      </c>
      <c r="K15" s="38"/>
      <c r="L15" s="82"/>
      <c r="M15" s="82"/>
    </row>
    <row r="16" spans="1:14" x14ac:dyDescent="0.2">
      <c r="A16" s="9" t="s">
        <v>295</v>
      </c>
      <c r="B16" s="85">
        <v>44524</v>
      </c>
      <c r="C16" s="85">
        <v>48944</v>
      </c>
      <c r="D16" s="75">
        <v>0.25</v>
      </c>
      <c r="E16" s="90">
        <v>139.69999999999999</v>
      </c>
      <c r="F16" s="68">
        <v>12</v>
      </c>
      <c r="G16" s="68">
        <v>14</v>
      </c>
      <c r="H16" s="68">
        <v>14</v>
      </c>
      <c r="I16" s="84">
        <v>300</v>
      </c>
      <c r="J16" s="94">
        <v>11240</v>
      </c>
      <c r="K16" s="38"/>
      <c r="L16" s="82"/>
      <c r="M16" s="82"/>
    </row>
    <row r="17" spans="1:13" x14ac:dyDescent="0.2">
      <c r="A17" s="9" t="s">
        <v>296</v>
      </c>
      <c r="B17" s="84">
        <v>35338</v>
      </c>
      <c r="C17" s="85">
        <v>48378</v>
      </c>
      <c r="D17" s="75">
        <v>0.25</v>
      </c>
      <c r="E17" s="68">
        <v>102.4</v>
      </c>
      <c r="F17" s="68">
        <v>12</v>
      </c>
      <c r="G17" s="68">
        <v>15</v>
      </c>
      <c r="H17" s="68">
        <v>15</v>
      </c>
      <c r="I17" s="92">
        <v>173</v>
      </c>
      <c r="J17" s="94">
        <v>6820</v>
      </c>
      <c r="K17" s="38"/>
      <c r="L17" s="81"/>
      <c r="M17" s="81"/>
    </row>
    <row r="18" spans="1:13" x14ac:dyDescent="0.2">
      <c r="A18" s="9" t="s">
        <v>297</v>
      </c>
      <c r="B18" s="84">
        <v>40276</v>
      </c>
      <c r="C18" s="85">
        <v>49212</v>
      </c>
      <c r="D18" s="75">
        <v>0.25</v>
      </c>
      <c r="E18" s="68">
        <v>118.9</v>
      </c>
      <c r="F18" s="68">
        <v>10</v>
      </c>
      <c r="G18" s="68">
        <v>10</v>
      </c>
      <c r="H18" s="68">
        <v>10</v>
      </c>
      <c r="I18" s="92">
        <v>219</v>
      </c>
      <c r="J18" s="94">
        <v>8170</v>
      </c>
      <c r="K18" s="38"/>
      <c r="L18" s="81"/>
      <c r="M18" s="81"/>
    </row>
    <row r="19" spans="1:13" x14ac:dyDescent="0.2">
      <c r="A19" s="9" t="s">
        <v>298</v>
      </c>
      <c r="B19" s="84">
        <v>35958</v>
      </c>
      <c r="C19" s="85">
        <v>45728</v>
      </c>
      <c r="D19" s="75">
        <v>0.25</v>
      </c>
      <c r="E19" s="68">
        <v>105.8</v>
      </c>
      <c r="F19" s="68">
        <v>12</v>
      </c>
      <c r="G19" s="68">
        <v>15</v>
      </c>
      <c r="H19" s="68">
        <v>15</v>
      </c>
      <c r="I19" s="92">
        <v>349</v>
      </c>
      <c r="J19" s="94">
        <v>10590</v>
      </c>
      <c r="K19" s="38"/>
      <c r="L19" s="81"/>
      <c r="M19" s="81"/>
    </row>
    <row r="20" spans="1:13" x14ac:dyDescent="0.2">
      <c r="A20" s="9" t="s">
        <v>299</v>
      </c>
      <c r="B20" s="86">
        <v>54542</v>
      </c>
      <c r="C20" s="85">
        <v>45728</v>
      </c>
      <c r="D20" s="75">
        <v>0.25</v>
      </c>
      <c r="E20" s="68">
        <v>158.80000000000001</v>
      </c>
      <c r="F20" s="68"/>
      <c r="G20" s="68"/>
      <c r="H20" s="68"/>
      <c r="I20" s="92">
        <v>479</v>
      </c>
      <c r="J20" s="94">
        <v>5740</v>
      </c>
      <c r="K20" s="38">
        <v>9584</v>
      </c>
      <c r="L20" s="83"/>
      <c r="M20" s="83"/>
    </row>
    <row r="21" spans="1:13" x14ac:dyDescent="0.2">
      <c r="A21" s="9" t="s">
        <v>168</v>
      </c>
      <c r="B21" s="84">
        <v>30189</v>
      </c>
      <c r="C21" s="85">
        <v>42815</v>
      </c>
      <c r="D21" s="75">
        <v>0.25</v>
      </c>
      <c r="E21" s="68">
        <v>102.6</v>
      </c>
      <c r="F21" s="68">
        <v>20</v>
      </c>
      <c r="G21" s="68">
        <v>25</v>
      </c>
      <c r="H21" s="68">
        <v>25</v>
      </c>
      <c r="I21" s="92">
        <v>307</v>
      </c>
      <c r="J21" s="94">
        <v>4820</v>
      </c>
      <c r="K21" s="38"/>
      <c r="L21" s="81"/>
      <c r="M21" s="81"/>
    </row>
    <row r="22" spans="1:13" x14ac:dyDescent="0.2">
      <c r="A22" s="9" t="s">
        <v>300</v>
      </c>
      <c r="B22" s="84">
        <v>28081</v>
      </c>
      <c r="C22" s="85">
        <v>47446</v>
      </c>
      <c r="D22" s="75">
        <v>0.25</v>
      </c>
      <c r="E22" s="68">
        <v>88.2</v>
      </c>
      <c r="F22" s="68">
        <v>18</v>
      </c>
      <c r="G22" s="68">
        <v>25</v>
      </c>
      <c r="H22" s="68">
        <v>25</v>
      </c>
      <c r="I22" s="92">
        <v>296</v>
      </c>
      <c r="J22" s="94">
        <v>4940</v>
      </c>
      <c r="K22" s="38">
        <v>4464</v>
      </c>
      <c r="L22" s="81"/>
      <c r="M22" s="81"/>
    </row>
    <row r="23" spans="1:13" x14ac:dyDescent="0.2">
      <c r="A23" s="9" t="s">
        <v>301</v>
      </c>
      <c r="B23" s="84">
        <v>41060</v>
      </c>
      <c r="C23" s="85">
        <v>46633</v>
      </c>
      <c r="D23" s="75">
        <v>0.25</v>
      </c>
      <c r="E23" s="68">
        <v>192.7</v>
      </c>
      <c r="F23" s="68">
        <v>16</v>
      </c>
      <c r="G23" s="68">
        <v>20</v>
      </c>
      <c r="H23" s="68">
        <v>20</v>
      </c>
      <c r="I23" s="92">
        <v>275</v>
      </c>
      <c r="J23" s="94">
        <v>5700</v>
      </c>
      <c r="K23" s="38"/>
      <c r="L23" s="81"/>
      <c r="M23" s="81"/>
    </row>
    <row r="24" spans="1:13" x14ac:dyDescent="0.2">
      <c r="A24" s="9" t="s">
        <v>302</v>
      </c>
      <c r="B24" s="84">
        <v>36142</v>
      </c>
      <c r="C24" s="85">
        <v>44493</v>
      </c>
      <c r="D24" s="75">
        <v>0.25</v>
      </c>
      <c r="E24" s="68">
        <v>99.4</v>
      </c>
      <c r="F24" s="91">
        <v>20</v>
      </c>
      <c r="G24" s="68">
        <v>25</v>
      </c>
      <c r="H24" s="68">
        <v>25</v>
      </c>
      <c r="I24" s="92">
        <v>182</v>
      </c>
      <c r="J24" s="94">
        <v>7400</v>
      </c>
      <c r="K24" s="38"/>
      <c r="L24" s="81"/>
      <c r="M24" s="81"/>
    </row>
    <row r="25" spans="1:13" x14ac:dyDescent="0.2">
      <c r="A25" s="9" t="s">
        <v>303</v>
      </c>
      <c r="B25" s="85">
        <v>37447</v>
      </c>
      <c r="C25" s="85">
        <v>42728</v>
      </c>
      <c r="D25" s="75">
        <v>0.25</v>
      </c>
      <c r="E25" s="91">
        <v>91.77</v>
      </c>
      <c r="F25" s="68">
        <v>10</v>
      </c>
      <c r="G25" s="68">
        <v>20</v>
      </c>
      <c r="H25" s="68">
        <v>20</v>
      </c>
      <c r="I25" s="92">
        <v>358</v>
      </c>
      <c r="J25" s="94">
        <v>6230</v>
      </c>
      <c r="K25" s="38"/>
      <c r="L25" s="82"/>
      <c r="M25" s="82"/>
    </row>
    <row r="26" spans="1:13" x14ac:dyDescent="0.2">
      <c r="A26" s="9" t="s">
        <v>304</v>
      </c>
      <c r="B26" s="85">
        <v>32817</v>
      </c>
      <c r="C26" s="85">
        <v>42728</v>
      </c>
      <c r="D26" s="75">
        <v>0.25</v>
      </c>
      <c r="E26" s="90">
        <v>91.7</v>
      </c>
      <c r="F26" s="68">
        <v>10</v>
      </c>
      <c r="G26" s="68">
        <v>20</v>
      </c>
      <c r="H26" s="68">
        <v>20</v>
      </c>
      <c r="I26" s="92">
        <v>358</v>
      </c>
      <c r="J26" s="94">
        <v>7390</v>
      </c>
      <c r="K26" s="38"/>
      <c r="L26" s="82"/>
      <c r="M26" s="82"/>
    </row>
    <row r="27" spans="1:13" x14ac:dyDescent="0.2">
      <c r="A27" s="9" t="s">
        <v>305</v>
      </c>
      <c r="B27" s="84">
        <v>34085</v>
      </c>
      <c r="C27" s="85">
        <v>45645</v>
      </c>
      <c r="D27" s="75">
        <v>0.25</v>
      </c>
      <c r="E27" s="68">
        <v>89.2</v>
      </c>
      <c r="F27" s="68">
        <v>10</v>
      </c>
      <c r="G27" s="68">
        <v>15</v>
      </c>
      <c r="H27" s="68">
        <v>15</v>
      </c>
      <c r="I27" s="92">
        <v>241</v>
      </c>
      <c r="J27" s="94">
        <v>7630</v>
      </c>
      <c r="K27" s="38"/>
      <c r="L27" s="81"/>
      <c r="M27" s="81"/>
    </row>
    <row r="28" spans="1:13" x14ac:dyDescent="0.2">
      <c r="A28" s="9" t="s">
        <v>306</v>
      </c>
      <c r="B28" s="84">
        <v>37275</v>
      </c>
      <c r="C28" s="85">
        <v>45126</v>
      </c>
      <c r="D28" s="75">
        <v>0.25</v>
      </c>
      <c r="E28" s="68">
        <v>88.1</v>
      </c>
      <c r="F28" s="68">
        <v>12</v>
      </c>
      <c r="G28" s="68">
        <v>15</v>
      </c>
      <c r="H28" s="68">
        <v>20</v>
      </c>
      <c r="I28" s="92">
        <v>175</v>
      </c>
      <c r="J28" s="94">
        <v>5860</v>
      </c>
      <c r="K28" s="38">
        <v>3157</v>
      </c>
      <c r="L28" s="81"/>
      <c r="M28" s="81"/>
    </row>
    <row r="29" spans="1:13" x14ac:dyDescent="0.2">
      <c r="A29" s="9" t="s">
        <v>307</v>
      </c>
      <c r="B29" s="84">
        <v>35320</v>
      </c>
      <c r="C29" s="85">
        <v>42454</v>
      </c>
      <c r="D29" s="75">
        <v>0.25</v>
      </c>
      <c r="E29" s="68">
        <v>85.4</v>
      </c>
      <c r="F29" s="68">
        <v>12</v>
      </c>
      <c r="G29" s="68">
        <v>16</v>
      </c>
      <c r="H29" s="68">
        <v>16</v>
      </c>
      <c r="I29" s="92">
        <v>185</v>
      </c>
      <c r="J29" s="94">
        <v>4680</v>
      </c>
      <c r="K29" s="38">
        <v>3157</v>
      </c>
      <c r="L29" s="81"/>
      <c r="M29" s="81"/>
    </row>
    <row r="30" spans="1:13" x14ac:dyDescent="0.2">
      <c r="A30" s="9" t="s">
        <v>308</v>
      </c>
      <c r="B30" s="84">
        <v>33703</v>
      </c>
      <c r="C30" s="85">
        <v>44592</v>
      </c>
      <c r="D30" s="75">
        <v>0.25</v>
      </c>
      <c r="E30" s="68">
        <v>93.6</v>
      </c>
      <c r="F30" s="68">
        <v>14</v>
      </c>
      <c r="G30" s="68">
        <v>15</v>
      </c>
      <c r="H30" s="68">
        <v>20</v>
      </c>
      <c r="I30" s="92">
        <v>345</v>
      </c>
      <c r="J30" s="94">
        <v>4770</v>
      </c>
      <c r="K30" s="38">
        <v>4700</v>
      </c>
      <c r="L30" s="81"/>
      <c r="M30" s="81"/>
    </row>
    <row r="31" spans="1:13" x14ac:dyDescent="0.2">
      <c r="A31" s="9" t="s">
        <v>309</v>
      </c>
      <c r="B31" s="84">
        <v>32257</v>
      </c>
      <c r="C31" s="85">
        <v>44278</v>
      </c>
      <c r="D31" s="75">
        <v>0.25</v>
      </c>
      <c r="E31" s="68">
        <v>93.3</v>
      </c>
      <c r="F31" s="68">
        <v>16</v>
      </c>
      <c r="G31" s="68">
        <v>25</v>
      </c>
      <c r="H31" s="68">
        <v>25</v>
      </c>
      <c r="I31" s="92">
        <v>497</v>
      </c>
      <c r="J31" s="94">
        <v>4730</v>
      </c>
      <c r="K31" s="38"/>
      <c r="L31" s="81"/>
      <c r="M31" s="81"/>
    </row>
    <row r="32" spans="1:13" x14ac:dyDescent="0.2">
      <c r="A32" s="9" t="s">
        <v>310</v>
      </c>
      <c r="B32" s="84">
        <v>34438</v>
      </c>
      <c r="C32" s="85">
        <v>46793</v>
      </c>
      <c r="D32" s="75">
        <v>0.25</v>
      </c>
      <c r="E32" s="68">
        <v>115.1</v>
      </c>
      <c r="F32" s="68">
        <v>10</v>
      </c>
      <c r="G32" s="68">
        <v>13</v>
      </c>
      <c r="H32" s="68">
        <v>13</v>
      </c>
      <c r="I32" s="92">
        <v>300</v>
      </c>
      <c r="J32" s="94">
        <v>11220</v>
      </c>
      <c r="K32" s="38">
        <v>10000</v>
      </c>
      <c r="L32" s="81"/>
      <c r="M32" s="81"/>
    </row>
    <row r="33" spans="1:13" x14ac:dyDescent="0.2">
      <c r="A33" s="9" t="s">
        <v>311</v>
      </c>
      <c r="B33" s="84">
        <v>37498</v>
      </c>
      <c r="C33" s="85">
        <v>48064</v>
      </c>
      <c r="D33" s="75">
        <v>0.25</v>
      </c>
      <c r="E33" s="68">
        <v>126.4</v>
      </c>
      <c r="F33" s="68">
        <v>10</v>
      </c>
      <c r="G33" s="68">
        <v>15</v>
      </c>
      <c r="H33" s="68">
        <v>15</v>
      </c>
      <c r="I33" s="92">
        <v>267</v>
      </c>
      <c r="J33" s="94">
        <v>5330</v>
      </c>
      <c r="K33" s="38">
        <v>2606</v>
      </c>
      <c r="L33" s="81"/>
      <c r="M33" s="81"/>
    </row>
    <row r="34" spans="1:13" x14ac:dyDescent="0.2">
      <c r="A34" s="9" t="s">
        <v>6</v>
      </c>
      <c r="B34" s="86">
        <v>44785</v>
      </c>
      <c r="C34" s="85">
        <v>51331</v>
      </c>
      <c r="D34" s="75">
        <v>0.25</v>
      </c>
      <c r="E34" s="91">
        <v>130.19999999999999</v>
      </c>
      <c r="F34" s="68">
        <v>10</v>
      </c>
      <c r="G34" s="68">
        <v>15</v>
      </c>
      <c r="H34" s="68">
        <v>15</v>
      </c>
      <c r="I34" s="92">
        <v>270</v>
      </c>
      <c r="J34" s="94">
        <v>9840</v>
      </c>
      <c r="K34" s="38"/>
      <c r="L34" s="83"/>
      <c r="M34" s="83"/>
    </row>
    <row r="35" spans="1:13" x14ac:dyDescent="0.2">
      <c r="A35" s="9" t="s">
        <v>312</v>
      </c>
      <c r="B35" s="85">
        <v>41312</v>
      </c>
      <c r="C35" s="85">
        <v>51331</v>
      </c>
      <c r="D35" s="75">
        <v>0.25</v>
      </c>
      <c r="E35" s="91">
        <v>88.27</v>
      </c>
      <c r="F35" s="68">
        <v>10</v>
      </c>
      <c r="G35" s="68">
        <v>15</v>
      </c>
      <c r="H35" s="68">
        <v>15</v>
      </c>
      <c r="I35" s="92">
        <v>270</v>
      </c>
      <c r="J35" s="94">
        <v>4770</v>
      </c>
      <c r="K35" s="38"/>
      <c r="L35" s="82"/>
      <c r="M35" s="82"/>
    </row>
    <row r="36" spans="1:13" x14ac:dyDescent="0.2">
      <c r="A36" s="9" t="s">
        <v>313</v>
      </c>
      <c r="B36" s="84">
        <v>33968</v>
      </c>
      <c r="C36" s="85">
        <v>46250</v>
      </c>
      <c r="D36" s="75">
        <v>0.25</v>
      </c>
      <c r="E36" s="68">
        <v>89.9</v>
      </c>
      <c r="F36" s="68">
        <v>12</v>
      </c>
      <c r="G36" s="68">
        <v>18</v>
      </c>
      <c r="H36" s="68">
        <v>18</v>
      </c>
      <c r="I36" s="92">
        <v>308</v>
      </c>
      <c r="J36" s="94">
        <v>8710</v>
      </c>
      <c r="K36" s="38"/>
      <c r="L36" s="81"/>
      <c r="M36" s="81"/>
    </row>
    <row r="37" spans="1:13" x14ac:dyDescent="0.2">
      <c r="A37" s="9" t="s">
        <v>314</v>
      </c>
      <c r="B37" s="84">
        <v>40320</v>
      </c>
      <c r="C37" s="85">
        <v>47543</v>
      </c>
      <c r="D37" s="75">
        <v>0.25</v>
      </c>
      <c r="E37" s="68">
        <v>97.2</v>
      </c>
      <c r="F37" s="68">
        <v>10</v>
      </c>
      <c r="G37" s="68">
        <v>15</v>
      </c>
      <c r="H37" s="68">
        <v>15</v>
      </c>
      <c r="I37" s="92">
        <v>178</v>
      </c>
      <c r="J37" s="94">
        <v>4400</v>
      </c>
      <c r="K37" s="38"/>
      <c r="L37" s="81"/>
      <c r="M37" s="81"/>
    </row>
    <row r="38" spans="1:13" x14ac:dyDescent="0.2">
      <c r="A38" s="9" t="s">
        <v>315</v>
      </c>
      <c r="B38" s="84">
        <v>34438</v>
      </c>
      <c r="C38" s="85">
        <v>45100</v>
      </c>
      <c r="D38" s="75">
        <v>0.25</v>
      </c>
      <c r="E38" s="68">
        <v>83.1</v>
      </c>
      <c r="F38" s="68">
        <v>14</v>
      </c>
      <c r="G38" s="68">
        <v>20</v>
      </c>
      <c r="H38" s="68">
        <v>25</v>
      </c>
      <c r="I38" s="92">
        <v>490</v>
      </c>
      <c r="J38" s="94">
        <v>4130</v>
      </c>
      <c r="K38" s="38"/>
      <c r="L38" s="81"/>
      <c r="M38" s="81"/>
    </row>
    <row r="39" spans="1:13" x14ac:dyDescent="0.2">
      <c r="A39" s="9" t="s">
        <v>316</v>
      </c>
      <c r="B39" s="84">
        <v>32494</v>
      </c>
      <c r="C39" s="85">
        <v>42529</v>
      </c>
      <c r="D39" s="75">
        <v>0.25</v>
      </c>
      <c r="E39" s="68">
        <v>90.5</v>
      </c>
      <c r="F39" s="68">
        <v>10</v>
      </c>
      <c r="G39" s="68">
        <v>16</v>
      </c>
      <c r="H39" s="68">
        <v>16</v>
      </c>
      <c r="I39" s="92">
        <v>309</v>
      </c>
      <c r="J39" s="94">
        <v>7580</v>
      </c>
      <c r="K39" s="76">
        <v>6375</v>
      </c>
      <c r="L39" s="81"/>
      <c r="M39" s="81"/>
    </row>
    <row r="40" spans="1:13" x14ac:dyDescent="0.2">
      <c r="A40" s="9" t="s">
        <v>317</v>
      </c>
      <c r="B40" s="84">
        <v>35312</v>
      </c>
      <c r="C40" s="85">
        <v>47346</v>
      </c>
      <c r="D40" s="75">
        <v>0.25</v>
      </c>
      <c r="E40" s="68">
        <v>104.4</v>
      </c>
      <c r="F40" s="68">
        <v>18</v>
      </c>
      <c r="G40" s="68">
        <v>21</v>
      </c>
      <c r="H40" s="68">
        <v>22</v>
      </c>
      <c r="I40" s="92">
        <v>412</v>
      </c>
      <c r="J40" s="94">
        <v>8120</v>
      </c>
      <c r="K40" s="38">
        <v>400</v>
      </c>
      <c r="L40" s="81"/>
      <c r="M40" s="81"/>
    </row>
    <row r="41" spans="1:13" x14ac:dyDescent="0.2">
      <c r="A41" s="9" t="s">
        <v>318</v>
      </c>
      <c r="B41" s="84">
        <v>36012</v>
      </c>
      <c r="C41" s="85">
        <v>43843</v>
      </c>
      <c r="D41" s="75">
        <v>0.25</v>
      </c>
      <c r="E41" s="68">
        <v>91.8</v>
      </c>
      <c r="F41" s="68">
        <v>12</v>
      </c>
      <c r="G41" s="68">
        <v>15</v>
      </c>
      <c r="H41" s="68">
        <v>15</v>
      </c>
      <c r="I41" s="92">
        <v>252</v>
      </c>
      <c r="J41" s="94">
        <v>5060</v>
      </c>
      <c r="K41" s="38"/>
      <c r="L41" s="81"/>
      <c r="M41" s="81"/>
    </row>
    <row r="42" spans="1:13" x14ac:dyDescent="0.2">
      <c r="A42" s="9" t="s">
        <v>319</v>
      </c>
      <c r="B42" s="84">
        <v>40769</v>
      </c>
      <c r="C42" s="85">
        <v>45751</v>
      </c>
      <c r="D42" s="75">
        <v>0.25</v>
      </c>
      <c r="E42" s="68">
        <v>103.1</v>
      </c>
      <c r="F42" s="68">
        <v>13</v>
      </c>
      <c r="G42" s="68">
        <v>13</v>
      </c>
      <c r="H42" s="68">
        <v>13</v>
      </c>
      <c r="I42" s="92">
        <v>291</v>
      </c>
      <c r="J42" s="94">
        <v>8010</v>
      </c>
      <c r="K42" s="38">
        <v>6026</v>
      </c>
      <c r="L42" s="81"/>
      <c r="M42" s="81"/>
    </row>
    <row r="43" spans="1:13" x14ac:dyDescent="0.2">
      <c r="A43" s="9" t="s">
        <v>320</v>
      </c>
      <c r="B43" s="84">
        <v>37359</v>
      </c>
      <c r="C43" s="85">
        <v>45698</v>
      </c>
      <c r="D43" s="75">
        <v>0.25</v>
      </c>
      <c r="E43" s="68">
        <v>117.4</v>
      </c>
      <c r="F43" s="68">
        <v>12</v>
      </c>
      <c r="G43" s="68">
        <v>15</v>
      </c>
      <c r="H43" s="68">
        <v>15</v>
      </c>
      <c r="I43" s="92">
        <v>233</v>
      </c>
      <c r="J43" s="94">
        <v>5850</v>
      </c>
      <c r="K43" s="38"/>
      <c r="L43" s="81"/>
      <c r="M43" s="81"/>
    </row>
    <row r="44" spans="1:13" x14ac:dyDescent="0.2">
      <c r="A44" s="9" t="s">
        <v>321</v>
      </c>
      <c r="B44" s="84">
        <v>42894</v>
      </c>
      <c r="C44" s="85">
        <v>48471</v>
      </c>
      <c r="D44" s="75">
        <v>0.25</v>
      </c>
      <c r="E44" s="68">
        <v>112.9</v>
      </c>
      <c r="F44" s="68">
        <v>12</v>
      </c>
      <c r="G44" s="68">
        <v>15</v>
      </c>
      <c r="H44" s="68">
        <v>15</v>
      </c>
      <c r="I44" s="92">
        <v>265</v>
      </c>
      <c r="J44" s="94">
        <v>4910</v>
      </c>
      <c r="K44" s="38"/>
      <c r="L44" s="81"/>
      <c r="M44" s="81"/>
    </row>
    <row r="45" spans="1:13" x14ac:dyDescent="0.2">
      <c r="A45" s="9" t="s">
        <v>322</v>
      </c>
      <c r="B45" s="84">
        <v>36930</v>
      </c>
      <c r="C45" s="85">
        <v>46567</v>
      </c>
      <c r="D45" s="75">
        <v>0.25</v>
      </c>
      <c r="E45" s="68">
        <v>93.9</v>
      </c>
      <c r="F45" s="68">
        <v>12</v>
      </c>
      <c r="G45" s="68">
        <v>15</v>
      </c>
      <c r="H45" s="68">
        <v>15</v>
      </c>
      <c r="I45" s="92">
        <v>363</v>
      </c>
      <c r="J45" s="94">
        <v>10490</v>
      </c>
      <c r="K45" s="38"/>
      <c r="L45" s="81"/>
      <c r="M45" s="81"/>
    </row>
    <row r="46" spans="1:13" x14ac:dyDescent="0.2">
      <c r="A46" s="9" t="s">
        <v>323</v>
      </c>
      <c r="B46" s="85">
        <v>44038</v>
      </c>
      <c r="C46" s="85">
        <v>47133</v>
      </c>
      <c r="D46" s="75">
        <v>0.25</v>
      </c>
      <c r="E46" s="91">
        <v>168.6</v>
      </c>
      <c r="F46" s="68">
        <v>8</v>
      </c>
      <c r="G46" s="68">
        <v>10</v>
      </c>
      <c r="H46" s="68">
        <v>15</v>
      </c>
      <c r="I46" s="92">
        <v>430</v>
      </c>
      <c r="J46" s="94">
        <v>3400</v>
      </c>
      <c r="K46" s="38"/>
      <c r="L46" s="82"/>
      <c r="M46" s="82"/>
    </row>
    <row r="47" spans="1:13" x14ac:dyDescent="0.2">
      <c r="A47" s="9" t="s">
        <v>324</v>
      </c>
      <c r="B47" s="85">
        <v>39768</v>
      </c>
      <c r="C47" s="85">
        <v>47133</v>
      </c>
      <c r="D47" s="75">
        <v>0.25</v>
      </c>
      <c r="E47" s="90">
        <v>152.1</v>
      </c>
      <c r="F47" s="68">
        <v>8</v>
      </c>
      <c r="G47" s="68">
        <v>10</v>
      </c>
      <c r="H47" s="68">
        <v>15</v>
      </c>
      <c r="I47" s="92">
        <v>430</v>
      </c>
      <c r="J47" s="94">
        <v>8810</v>
      </c>
      <c r="K47" s="38"/>
      <c r="L47" s="82"/>
      <c r="M47" s="82"/>
    </row>
    <row r="48" spans="1:13" x14ac:dyDescent="0.2">
      <c r="A48" s="9" t="s">
        <v>325</v>
      </c>
      <c r="B48" s="84">
        <v>29601</v>
      </c>
      <c r="C48" s="85">
        <v>46174</v>
      </c>
      <c r="D48" s="75">
        <v>0.25</v>
      </c>
      <c r="E48" s="68">
        <v>95</v>
      </c>
      <c r="F48" s="68">
        <v>15</v>
      </c>
      <c r="G48" s="68">
        <v>25</v>
      </c>
      <c r="H48" s="68">
        <v>25</v>
      </c>
      <c r="I48" s="92">
        <v>286</v>
      </c>
      <c r="J48" s="94">
        <v>7200</v>
      </c>
      <c r="K48" s="38"/>
      <c r="L48" s="81"/>
      <c r="M48" s="81"/>
    </row>
    <row r="49" spans="1:13" x14ac:dyDescent="0.2">
      <c r="A49" s="9" t="s">
        <v>326</v>
      </c>
      <c r="B49" s="84">
        <v>38527</v>
      </c>
      <c r="C49" s="85">
        <v>47330</v>
      </c>
      <c r="D49" s="75">
        <v>0.25</v>
      </c>
      <c r="E49" s="68">
        <v>96.8</v>
      </c>
      <c r="F49" s="68">
        <v>10</v>
      </c>
      <c r="G49" s="68">
        <v>18</v>
      </c>
      <c r="H49" s="68">
        <v>18</v>
      </c>
      <c r="I49" s="92">
        <v>368</v>
      </c>
      <c r="J49" s="94">
        <v>6370</v>
      </c>
      <c r="K49" s="38"/>
      <c r="L49" s="81"/>
      <c r="M49" s="81"/>
    </row>
    <row r="50" spans="1:13" x14ac:dyDescent="0.2">
      <c r="A50" s="9" t="s">
        <v>327</v>
      </c>
      <c r="B50" s="84">
        <v>38113</v>
      </c>
      <c r="C50" s="85">
        <v>45911</v>
      </c>
      <c r="D50" s="75">
        <v>0.25</v>
      </c>
      <c r="E50" s="68">
        <v>90.8</v>
      </c>
      <c r="F50" s="68">
        <v>14</v>
      </c>
      <c r="G50" s="68">
        <v>18</v>
      </c>
      <c r="H50" s="68">
        <v>18</v>
      </c>
      <c r="I50" s="92">
        <v>354</v>
      </c>
      <c r="J50" s="94">
        <v>3110</v>
      </c>
      <c r="K50" s="38"/>
      <c r="L50" s="81"/>
      <c r="M50" s="81"/>
    </row>
    <row r="51" spans="1:13" x14ac:dyDescent="0.2">
      <c r="A51" s="9" t="s">
        <v>328</v>
      </c>
      <c r="B51" s="84">
        <v>33972</v>
      </c>
      <c r="C51" s="85">
        <v>42997</v>
      </c>
      <c r="D51" s="75">
        <v>0.25</v>
      </c>
      <c r="E51" s="68">
        <v>84.8</v>
      </c>
      <c r="F51" s="68">
        <v>15</v>
      </c>
      <c r="G51" s="68">
        <v>20</v>
      </c>
      <c r="H51" s="68">
        <v>20</v>
      </c>
      <c r="I51" s="92">
        <v>314</v>
      </c>
      <c r="J51" s="94">
        <v>9650</v>
      </c>
      <c r="K51" s="38">
        <v>1883</v>
      </c>
      <c r="L51" s="81"/>
      <c r="M51" s="81"/>
    </row>
    <row r="52" spans="1:13" x14ac:dyDescent="0.2">
      <c r="A52" s="9" t="s">
        <v>329</v>
      </c>
      <c r="B52" s="84">
        <v>38990</v>
      </c>
      <c r="C52" s="85">
        <v>46363</v>
      </c>
      <c r="D52" s="75">
        <v>0.25</v>
      </c>
      <c r="E52" s="68">
        <v>125.2</v>
      </c>
      <c r="F52" s="68">
        <v>10</v>
      </c>
      <c r="G52" s="68">
        <v>15</v>
      </c>
      <c r="H52" s="68">
        <v>15</v>
      </c>
      <c r="I52" s="92">
        <v>282</v>
      </c>
      <c r="J52" s="94">
        <v>7250</v>
      </c>
      <c r="K52" s="38">
        <v>7324</v>
      </c>
      <c r="L52" s="81"/>
      <c r="M52" s="81"/>
    </row>
    <row r="53" spans="1:13" x14ac:dyDescent="0.2">
      <c r="A53" s="9" t="s">
        <v>330</v>
      </c>
      <c r="B53" s="85">
        <v>36573</v>
      </c>
      <c r="C53" s="85">
        <v>44941</v>
      </c>
      <c r="D53" s="75">
        <v>0.25</v>
      </c>
      <c r="E53" s="91">
        <v>97.5</v>
      </c>
      <c r="F53" s="68">
        <v>10</v>
      </c>
      <c r="G53" s="68">
        <v>12</v>
      </c>
      <c r="H53" s="68">
        <v>15</v>
      </c>
      <c r="I53" s="92">
        <v>370</v>
      </c>
      <c r="J53" s="94">
        <v>3380</v>
      </c>
      <c r="K53" s="38"/>
      <c r="L53" s="82"/>
      <c r="M53" s="82"/>
    </row>
    <row r="54" spans="1:13" x14ac:dyDescent="0.2">
      <c r="A54" s="9" t="s">
        <v>331</v>
      </c>
      <c r="B54" s="85">
        <v>32849</v>
      </c>
      <c r="C54" s="85">
        <v>44941</v>
      </c>
      <c r="D54" s="75">
        <v>0.25</v>
      </c>
      <c r="E54" s="91">
        <v>78.47</v>
      </c>
      <c r="F54" s="68">
        <v>10</v>
      </c>
      <c r="G54" s="68">
        <v>12</v>
      </c>
      <c r="H54" s="68">
        <v>15</v>
      </c>
      <c r="I54" s="92">
        <v>370</v>
      </c>
      <c r="J54" s="94">
        <v>7180</v>
      </c>
      <c r="K54" s="38"/>
      <c r="L54" s="82"/>
      <c r="M54" s="82"/>
    </row>
    <row r="55" spans="1:13" x14ac:dyDescent="0.2">
      <c r="A55" s="9" t="s">
        <v>332</v>
      </c>
      <c r="B55" s="84">
        <v>39590</v>
      </c>
      <c r="C55" s="85">
        <v>47492</v>
      </c>
      <c r="D55" s="75">
        <v>0.25</v>
      </c>
      <c r="E55" s="68">
        <v>112.8</v>
      </c>
      <c r="F55" s="68">
        <v>10</v>
      </c>
      <c r="G55" s="68">
        <v>13</v>
      </c>
      <c r="H55" s="68">
        <v>13</v>
      </c>
      <c r="I55" s="92">
        <v>422</v>
      </c>
      <c r="J55" s="94">
        <v>7020</v>
      </c>
      <c r="K55" s="38">
        <v>9321</v>
      </c>
      <c r="L55" s="81"/>
      <c r="M55" s="81"/>
    </row>
    <row r="56" spans="1:13" x14ac:dyDescent="0.2">
      <c r="A56" s="9" t="s">
        <v>333</v>
      </c>
      <c r="B56" s="84">
        <v>35195</v>
      </c>
      <c r="C56" s="85">
        <v>44118</v>
      </c>
      <c r="D56" s="75">
        <v>0.25</v>
      </c>
      <c r="E56" s="68">
        <v>93.9</v>
      </c>
      <c r="F56" s="68">
        <v>18</v>
      </c>
      <c r="G56" s="68">
        <v>23</v>
      </c>
      <c r="H56" s="68">
        <v>23</v>
      </c>
      <c r="I56" s="92">
        <v>308</v>
      </c>
      <c r="J56" s="94">
        <v>6240</v>
      </c>
      <c r="K56" s="38"/>
      <c r="L56" s="81"/>
      <c r="M56" s="81"/>
    </row>
    <row r="57" spans="1:13" x14ac:dyDescent="0.2">
      <c r="A57" s="9" t="s">
        <v>334</v>
      </c>
      <c r="B57" s="84">
        <v>36664</v>
      </c>
      <c r="C57" s="85">
        <v>44414</v>
      </c>
      <c r="D57" s="75">
        <v>0.25</v>
      </c>
      <c r="E57" s="68">
        <v>95.2</v>
      </c>
      <c r="F57" s="68">
        <v>10</v>
      </c>
      <c r="G57" s="68">
        <v>15</v>
      </c>
      <c r="H57" s="68">
        <v>15</v>
      </c>
      <c r="I57" s="92">
        <v>375</v>
      </c>
      <c r="J57" s="94">
        <v>4260</v>
      </c>
      <c r="K57" s="38">
        <v>1972</v>
      </c>
      <c r="L57" s="81"/>
      <c r="M57" s="81"/>
    </row>
    <row r="58" spans="1:13" x14ac:dyDescent="0.2">
      <c r="A58" s="9" t="s">
        <v>169</v>
      </c>
      <c r="B58" s="84">
        <v>40799</v>
      </c>
      <c r="C58" s="85">
        <v>46608</v>
      </c>
      <c r="D58" s="75">
        <v>0.25</v>
      </c>
      <c r="E58" s="68">
        <v>89.4</v>
      </c>
      <c r="F58" s="68">
        <v>13</v>
      </c>
      <c r="G58" s="68">
        <v>20</v>
      </c>
      <c r="H58" s="68">
        <v>20</v>
      </c>
      <c r="I58" s="92">
        <v>304</v>
      </c>
      <c r="J58" s="94">
        <v>5180</v>
      </c>
      <c r="K58" s="38"/>
      <c r="L58" s="81"/>
      <c r="M58" s="81"/>
    </row>
    <row r="59" spans="1:13" x14ac:dyDescent="0.2">
      <c r="A59" s="9" t="s">
        <v>335</v>
      </c>
      <c r="B59" s="84">
        <v>31939</v>
      </c>
      <c r="C59" s="85">
        <v>46848</v>
      </c>
      <c r="D59" s="75">
        <v>0.25</v>
      </c>
      <c r="E59" s="68">
        <v>92.1</v>
      </c>
      <c r="F59" s="68">
        <v>18</v>
      </c>
      <c r="G59" s="68">
        <v>26</v>
      </c>
      <c r="H59" s="68">
        <v>26</v>
      </c>
      <c r="I59" s="92">
        <v>271</v>
      </c>
      <c r="J59" s="94">
        <v>5850</v>
      </c>
      <c r="K59" s="38"/>
      <c r="L59" s="81"/>
      <c r="M59" s="81"/>
    </row>
    <row r="60" spans="1:13" x14ac:dyDescent="0.2">
      <c r="A60" s="9" t="s">
        <v>336</v>
      </c>
      <c r="B60" s="84">
        <v>37242</v>
      </c>
      <c r="C60" s="85">
        <v>45727</v>
      </c>
      <c r="D60" s="75">
        <v>0.25</v>
      </c>
      <c r="E60" s="68">
        <v>104.2</v>
      </c>
      <c r="F60" s="68">
        <v>15</v>
      </c>
      <c r="G60" s="68">
        <v>20</v>
      </c>
      <c r="H60" s="68">
        <v>20</v>
      </c>
      <c r="I60" s="92">
        <v>118</v>
      </c>
      <c r="J60" s="94">
        <v>5740</v>
      </c>
      <c r="K60" s="38"/>
      <c r="L60" s="81"/>
      <c r="M60" s="81"/>
    </row>
    <row r="61" spans="1:13" x14ac:dyDescent="0.2">
      <c r="A61" s="9" t="s">
        <v>337</v>
      </c>
      <c r="B61" s="84">
        <v>36592</v>
      </c>
      <c r="C61" s="85">
        <v>46712</v>
      </c>
      <c r="D61" s="75">
        <v>0.25</v>
      </c>
      <c r="E61" s="68">
        <v>116.9</v>
      </c>
      <c r="F61" s="68">
        <v>10</v>
      </c>
      <c r="G61" s="68">
        <v>13</v>
      </c>
      <c r="H61" s="68">
        <v>13</v>
      </c>
      <c r="I61" s="92">
        <v>284</v>
      </c>
      <c r="J61" s="94">
        <v>3000</v>
      </c>
      <c r="K61" s="38">
        <v>9712</v>
      </c>
      <c r="L61" s="81"/>
      <c r="M61" s="81"/>
    </row>
    <row r="62" spans="1:13" x14ac:dyDescent="0.2">
      <c r="A62" s="9" t="s">
        <v>338</v>
      </c>
      <c r="B62" s="84">
        <v>36862</v>
      </c>
      <c r="C62" s="85">
        <v>46564</v>
      </c>
      <c r="D62" s="75">
        <v>0.25</v>
      </c>
      <c r="E62" s="68">
        <v>102.7</v>
      </c>
      <c r="F62" s="68">
        <v>10</v>
      </c>
      <c r="G62" s="68">
        <v>18</v>
      </c>
      <c r="H62" s="68">
        <v>20</v>
      </c>
      <c r="I62" s="93">
        <v>204</v>
      </c>
      <c r="J62" s="94">
        <v>15050</v>
      </c>
      <c r="K62" s="38">
        <v>3442</v>
      </c>
      <c r="L62" s="81"/>
      <c r="M62" s="81"/>
    </row>
    <row r="63" spans="1:13" x14ac:dyDescent="0.2">
      <c r="A63" s="9" t="s">
        <v>339</v>
      </c>
      <c r="B63" s="84">
        <v>39963</v>
      </c>
      <c r="C63" s="85">
        <v>47576</v>
      </c>
      <c r="D63" s="75">
        <v>0.25</v>
      </c>
      <c r="E63" s="68">
        <v>113.9</v>
      </c>
      <c r="F63" s="68">
        <v>10</v>
      </c>
      <c r="G63" s="68">
        <v>15</v>
      </c>
      <c r="H63" s="68">
        <v>15</v>
      </c>
      <c r="I63" s="93">
        <v>226</v>
      </c>
      <c r="J63" s="94">
        <v>8530</v>
      </c>
      <c r="K63" s="38"/>
      <c r="L63" s="81"/>
      <c r="M63" s="81"/>
    </row>
    <row r="64" spans="1:13" x14ac:dyDescent="0.2">
      <c r="A64" s="9" t="s">
        <v>340</v>
      </c>
      <c r="B64" s="84">
        <v>33176</v>
      </c>
      <c r="C64" s="85">
        <v>42695</v>
      </c>
      <c r="D64" s="75">
        <v>0.25</v>
      </c>
      <c r="E64" s="68">
        <v>90.5</v>
      </c>
      <c r="F64" s="68">
        <v>12</v>
      </c>
      <c r="G64" s="68">
        <v>16</v>
      </c>
      <c r="H64" s="68">
        <v>16</v>
      </c>
      <c r="I64" s="93">
        <v>382</v>
      </c>
      <c r="J64" s="94">
        <v>5600</v>
      </c>
      <c r="K64" s="38">
        <v>4600</v>
      </c>
      <c r="L64" s="81"/>
      <c r="M64" s="81"/>
    </row>
    <row r="65" spans="1:13" x14ac:dyDescent="0.2">
      <c r="A65" s="9" t="s">
        <v>170</v>
      </c>
      <c r="B65" s="84">
        <v>38742</v>
      </c>
      <c r="C65" s="85">
        <v>46563</v>
      </c>
      <c r="D65" s="75">
        <v>0.25</v>
      </c>
      <c r="E65" s="68">
        <v>95.5</v>
      </c>
      <c r="F65" s="68">
        <v>13</v>
      </c>
      <c r="G65" s="68">
        <v>18</v>
      </c>
      <c r="H65" s="68">
        <v>18</v>
      </c>
      <c r="I65" s="93">
        <v>253</v>
      </c>
      <c r="J65" s="94">
        <v>8230</v>
      </c>
      <c r="K65" s="38"/>
      <c r="L65" s="81"/>
      <c r="M65" s="81"/>
    </row>
    <row r="66" spans="1:13" x14ac:dyDescent="0.2">
      <c r="A66" s="9" t="s">
        <v>341</v>
      </c>
      <c r="B66" s="84">
        <v>34880</v>
      </c>
      <c r="C66" s="85">
        <v>47674</v>
      </c>
      <c r="D66" s="75">
        <v>0.25</v>
      </c>
      <c r="E66" s="68">
        <v>93.9</v>
      </c>
      <c r="F66" s="68">
        <v>12</v>
      </c>
      <c r="G66" s="68">
        <v>18</v>
      </c>
      <c r="H66" s="68">
        <v>18</v>
      </c>
      <c r="I66" s="93">
        <v>408</v>
      </c>
      <c r="J66" s="94">
        <v>5210</v>
      </c>
      <c r="K66" s="38"/>
      <c r="L66" s="81"/>
      <c r="M66" s="81"/>
    </row>
    <row r="67" spans="1:13" x14ac:dyDescent="0.2">
      <c r="G67" s="68"/>
      <c r="H67" s="68"/>
    </row>
    <row r="68" spans="1:13" x14ac:dyDescent="0.2">
      <c r="A68" s="87" t="s">
        <v>342</v>
      </c>
      <c r="G68" s="68"/>
      <c r="H68" s="68"/>
    </row>
    <row r="69" spans="1:13" x14ac:dyDescent="0.2">
      <c r="A69" s="87" t="s">
        <v>343</v>
      </c>
      <c r="G69" s="68"/>
      <c r="H69" s="68"/>
    </row>
    <row r="70" spans="1:13" x14ac:dyDescent="0.2">
      <c r="A70" t="s">
        <v>344</v>
      </c>
      <c r="G70" s="68"/>
      <c r="H70" s="68"/>
    </row>
    <row r="71" spans="1:13" x14ac:dyDescent="0.2">
      <c r="A71" t="s">
        <v>345</v>
      </c>
      <c r="G71" s="68"/>
      <c r="H71" s="68"/>
    </row>
    <row r="72" spans="1:13" x14ac:dyDescent="0.2">
      <c r="A72" s="87" t="s">
        <v>346</v>
      </c>
      <c r="G72" s="68"/>
      <c r="H72" s="68"/>
    </row>
    <row r="73" spans="1:13" x14ac:dyDescent="0.2">
      <c r="A73" s="87" t="s">
        <v>347</v>
      </c>
      <c r="G73" s="68"/>
      <c r="H73" s="68"/>
    </row>
    <row r="74" spans="1:13" x14ac:dyDescent="0.2">
      <c r="A74" s="87" t="s">
        <v>348</v>
      </c>
      <c r="G74" s="68"/>
      <c r="H74" s="68"/>
    </row>
    <row r="75" spans="1:13" x14ac:dyDescent="0.2">
      <c r="A75" s="87" t="s">
        <v>349</v>
      </c>
      <c r="G75" s="68"/>
      <c r="H75" s="68"/>
    </row>
    <row r="76" spans="1:13" x14ac:dyDescent="0.2">
      <c r="A76" s="87" t="s">
        <v>350</v>
      </c>
    </row>
    <row r="77" spans="1:13" x14ac:dyDescent="0.2">
      <c r="A77" s="95" t="s">
        <v>351</v>
      </c>
    </row>
    <row r="78" spans="1:13" x14ac:dyDescent="0.2">
      <c r="A78" t="s">
        <v>352</v>
      </c>
    </row>
  </sheetData>
  <dataValidations count="1">
    <dataValidation type="list" allowBlank="1" showInputMessage="1" showErrorMessage="1" sqref="A12" xr:uid="{C385D339-3554-8B43-8E96-D1ABEDCD1BE2}">
      <formula1>$A$11:$A$66</formula1>
    </dataValidation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DCEEA-93B1-C344-87E2-D68BC2BA8038}">
  <dimension ref="A1:D64"/>
  <sheetViews>
    <sheetView zoomScale="125" workbookViewId="0">
      <selection activeCell="A3" sqref="A3"/>
    </sheetView>
  </sheetViews>
  <sheetFormatPr baseColWidth="10" defaultColWidth="11" defaultRowHeight="16" x14ac:dyDescent="0.2"/>
  <cols>
    <col min="1" max="1" width="25.83203125" customWidth="1"/>
    <col min="2" max="2" width="15.5" customWidth="1"/>
    <col min="3" max="3" width="14.33203125" customWidth="1"/>
    <col min="4" max="4" width="12.1640625" customWidth="1"/>
    <col min="5" max="10" width="25.83203125" customWidth="1"/>
  </cols>
  <sheetData>
    <row r="1" spans="1:4" ht="19" x14ac:dyDescent="0.25">
      <c r="A1" s="22" t="s">
        <v>353</v>
      </c>
    </row>
    <row r="2" spans="1:4" ht="19" x14ac:dyDescent="0.25">
      <c r="A2" s="22" t="s">
        <v>354</v>
      </c>
    </row>
    <row r="5" spans="1:4" ht="64" customHeight="1" x14ac:dyDescent="0.2">
      <c r="B5" s="2" t="s">
        <v>355</v>
      </c>
      <c r="C5" s="2" t="s">
        <v>356</v>
      </c>
      <c r="D5" s="2" t="s">
        <v>357</v>
      </c>
    </row>
    <row r="6" spans="1:4" x14ac:dyDescent="0.2">
      <c r="A6" t="s">
        <v>290</v>
      </c>
      <c r="B6" s="84">
        <v>11400</v>
      </c>
      <c r="C6" s="84">
        <v>10077</v>
      </c>
      <c r="D6" s="94">
        <v>52009</v>
      </c>
    </row>
    <row r="7" spans="1:4" x14ac:dyDescent="0.2">
      <c r="A7" t="s">
        <v>291</v>
      </c>
      <c r="B7" s="84">
        <v>19528</v>
      </c>
      <c r="C7" s="84">
        <v>18394</v>
      </c>
      <c r="D7" s="94">
        <v>70277</v>
      </c>
    </row>
    <row r="8" spans="1:4" x14ac:dyDescent="0.2">
      <c r="A8" t="s">
        <v>292</v>
      </c>
      <c r="B8" s="84">
        <v>10314</v>
      </c>
      <c r="C8" s="84">
        <v>8625</v>
      </c>
      <c r="D8" s="94">
        <v>50353</v>
      </c>
    </row>
    <row r="9" spans="1:4" x14ac:dyDescent="0.2">
      <c r="A9" t="s">
        <v>293</v>
      </c>
      <c r="B9" s="84">
        <v>11735</v>
      </c>
      <c r="C9" s="84">
        <v>10388</v>
      </c>
      <c r="D9" s="94">
        <v>49438</v>
      </c>
    </row>
    <row r="10" spans="1:4" x14ac:dyDescent="0.2">
      <c r="A10" t="s">
        <v>294</v>
      </c>
      <c r="B10" s="84">
        <v>16872</v>
      </c>
      <c r="C10" s="84">
        <v>14035</v>
      </c>
      <c r="D10" s="94">
        <v>83049</v>
      </c>
    </row>
    <row r="11" spans="1:4" x14ac:dyDescent="0.2">
      <c r="A11" t="s">
        <v>295</v>
      </c>
      <c r="B11" s="84">
        <v>16872</v>
      </c>
      <c r="C11" s="84">
        <v>14035</v>
      </c>
      <c r="D11" s="94">
        <v>83049</v>
      </c>
    </row>
    <row r="12" spans="1:4" x14ac:dyDescent="0.2">
      <c r="A12" t="s">
        <v>296</v>
      </c>
      <c r="B12" s="84">
        <v>13749</v>
      </c>
      <c r="C12" s="84">
        <v>11030</v>
      </c>
      <c r="D12" s="94">
        <v>54935</v>
      </c>
    </row>
    <row r="13" spans="1:4" x14ac:dyDescent="0.2">
      <c r="A13" t="s">
        <v>297</v>
      </c>
      <c r="B13" s="84">
        <v>24662</v>
      </c>
      <c r="C13" s="84">
        <v>21310</v>
      </c>
      <c r="D13" s="94">
        <v>76465</v>
      </c>
    </row>
    <row r="14" spans="1:4" x14ac:dyDescent="0.2">
      <c r="A14" t="s">
        <v>298</v>
      </c>
      <c r="B14" s="84">
        <v>18529</v>
      </c>
      <c r="C14" s="84">
        <v>16315</v>
      </c>
      <c r="D14" s="94">
        <v>63662</v>
      </c>
    </row>
    <row r="15" spans="1:4" x14ac:dyDescent="0.2">
      <c r="A15" t="s">
        <v>299</v>
      </c>
      <c r="B15" s="84">
        <v>31109</v>
      </c>
      <c r="C15" s="84">
        <v>22406</v>
      </c>
      <c r="D15" s="94">
        <v>61368</v>
      </c>
    </row>
    <row r="16" spans="1:4" x14ac:dyDescent="0.2">
      <c r="A16" t="s">
        <v>168</v>
      </c>
      <c r="B16" s="84">
        <v>11204</v>
      </c>
      <c r="C16" s="84">
        <v>9645</v>
      </c>
      <c r="D16" s="94">
        <v>48314</v>
      </c>
    </row>
    <row r="17" spans="1:4" x14ac:dyDescent="0.2">
      <c r="A17" t="s">
        <v>300</v>
      </c>
      <c r="B17" s="84">
        <v>12931</v>
      </c>
      <c r="C17" s="84">
        <v>11228</v>
      </c>
      <c r="D17" s="94">
        <v>57095</v>
      </c>
    </row>
    <row r="18" spans="1:4" x14ac:dyDescent="0.2">
      <c r="A18" t="s">
        <v>301</v>
      </c>
      <c r="B18" s="84">
        <v>17237</v>
      </c>
      <c r="C18" s="84">
        <v>16132</v>
      </c>
      <c r="D18" s="94">
        <v>63201</v>
      </c>
    </row>
    <row r="19" spans="1:4" x14ac:dyDescent="0.2">
      <c r="A19" t="s">
        <v>302</v>
      </c>
      <c r="B19" s="84">
        <v>9294</v>
      </c>
      <c r="C19" s="84">
        <v>7985</v>
      </c>
      <c r="D19" s="94">
        <v>50757</v>
      </c>
    </row>
    <row r="20" spans="1:4" x14ac:dyDescent="0.2">
      <c r="A20" t="s">
        <v>303</v>
      </c>
      <c r="B20" s="84">
        <v>18997</v>
      </c>
      <c r="C20" s="84">
        <v>16227</v>
      </c>
      <c r="D20" s="94">
        <v>67049</v>
      </c>
    </row>
    <row r="21" spans="1:4" x14ac:dyDescent="0.2">
      <c r="A21" t="s">
        <v>304</v>
      </c>
      <c r="B21" s="84">
        <v>18997</v>
      </c>
      <c r="C21" s="84">
        <v>16227</v>
      </c>
      <c r="D21" s="94">
        <v>67049</v>
      </c>
    </row>
    <row r="22" spans="1:4" x14ac:dyDescent="0.2">
      <c r="A22" t="s">
        <v>305</v>
      </c>
      <c r="B22" s="84">
        <v>13110</v>
      </c>
      <c r="C22" s="84">
        <v>10397</v>
      </c>
      <c r="D22" s="94">
        <v>51119</v>
      </c>
    </row>
    <row r="23" spans="1:4" x14ac:dyDescent="0.2">
      <c r="A23" t="s">
        <v>306</v>
      </c>
      <c r="B23" s="84">
        <v>14116</v>
      </c>
      <c r="C23" s="84">
        <v>11907</v>
      </c>
      <c r="D23" s="94">
        <v>57489</v>
      </c>
    </row>
    <row r="24" spans="1:4" x14ac:dyDescent="0.2">
      <c r="A24" t="s">
        <v>307</v>
      </c>
      <c r="B24" s="84">
        <v>13815</v>
      </c>
      <c r="C24" s="84">
        <v>11926</v>
      </c>
      <c r="D24" s="94">
        <v>51082</v>
      </c>
    </row>
    <row r="25" spans="1:4" x14ac:dyDescent="0.2">
      <c r="A25" t="s">
        <v>308</v>
      </c>
      <c r="B25" s="84">
        <v>12844</v>
      </c>
      <c r="C25" s="84">
        <v>11291</v>
      </c>
      <c r="D25" s="94">
        <v>53434</v>
      </c>
    </row>
    <row r="26" spans="1:4" x14ac:dyDescent="0.2">
      <c r="A26" t="s">
        <v>309</v>
      </c>
      <c r="B26" s="84">
        <v>13728</v>
      </c>
      <c r="C26" s="84">
        <v>11755</v>
      </c>
      <c r="D26" s="94">
        <v>50288</v>
      </c>
    </row>
    <row r="27" spans="1:4" x14ac:dyDescent="0.2">
      <c r="A27" t="s">
        <v>310</v>
      </c>
      <c r="B27" s="84">
        <v>16963</v>
      </c>
      <c r="C27" s="84">
        <v>14614</v>
      </c>
      <c r="D27" s="94">
        <v>54025</v>
      </c>
    </row>
    <row r="28" spans="1:4" x14ac:dyDescent="0.2">
      <c r="A28" t="s">
        <v>311</v>
      </c>
      <c r="B28" s="84">
        <v>17925</v>
      </c>
      <c r="C28" s="84">
        <v>15148</v>
      </c>
      <c r="D28" s="94">
        <v>70463</v>
      </c>
    </row>
    <row r="29" spans="1:4" x14ac:dyDescent="0.2">
      <c r="A29" t="s">
        <v>6</v>
      </c>
      <c r="B29" s="84">
        <v>20917</v>
      </c>
      <c r="C29" s="84">
        <v>17748</v>
      </c>
      <c r="D29" s="94">
        <v>82042</v>
      </c>
    </row>
    <row r="30" spans="1:4" x14ac:dyDescent="0.2">
      <c r="A30" t="s">
        <v>312</v>
      </c>
      <c r="B30" s="84">
        <v>20917</v>
      </c>
      <c r="C30" s="84">
        <v>17748</v>
      </c>
      <c r="D30" s="94">
        <v>82042</v>
      </c>
    </row>
    <row r="31" spans="1:4" x14ac:dyDescent="0.2">
      <c r="A31" t="s">
        <v>313</v>
      </c>
      <c r="B31" s="84">
        <v>15320</v>
      </c>
      <c r="C31" s="84">
        <v>12756</v>
      </c>
      <c r="D31" s="94">
        <v>62170</v>
      </c>
    </row>
    <row r="32" spans="1:4" x14ac:dyDescent="0.2">
      <c r="A32" t="s">
        <v>314</v>
      </c>
      <c r="B32" s="84">
        <v>16326</v>
      </c>
      <c r="C32" s="84">
        <v>13387</v>
      </c>
      <c r="D32" s="94">
        <v>58221</v>
      </c>
    </row>
    <row r="33" spans="1:4" x14ac:dyDescent="0.2">
      <c r="A33" t="s">
        <v>315</v>
      </c>
      <c r="B33" s="84">
        <v>10380</v>
      </c>
      <c r="C33" s="84">
        <v>9284</v>
      </c>
      <c r="D33" s="94">
        <v>45105</v>
      </c>
    </row>
    <row r="34" spans="1:4" x14ac:dyDescent="0.2">
      <c r="A34" t="s">
        <v>316</v>
      </c>
      <c r="B34" s="84">
        <v>13262</v>
      </c>
      <c r="C34" s="84">
        <v>11200</v>
      </c>
      <c r="D34" s="94">
        <v>50019</v>
      </c>
    </row>
    <row r="35" spans="1:4" x14ac:dyDescent="0.2">
      <c r="A35" t="s">
        <v>317</v>
      </c>
      <c r="B35" s="84">
        <v>13744</v>
      </c>
      <c r="C35" s="84">
        <v>11988</v>
      </c>
      <c r="D35" s="94">
        <v>50721</v>
      </c>
    </row>
    <row r="36" spans="1:4" x14ac:dyDescent="0.2">
      <c r="A36" t="s">
        <v>318</v>
      </c>
      <c r="B36" s="84">
        <v>14266</v>
      </c>
      <c r="C36" s="84">
        <v>12743</v>
      </c>
      <c r="D36" s="94">
        <v>54470</v>
      </c>
    </row>
    <row r="37" spans="1:4" x14ac:dyDescent="0.2">
      <c r="A37" t="s">
        <v>319</v>
      </c>
      <c r="B37" s="84">
        <v>11230</v>
      </c>
      <c r="C37" s="84">
        <v>9344</v>
      </c>
      <c r="D37" s="94">
        <v>55950</v>
      </c>
    </row>
    <row r="38" spans="1:4" x14ac:dyDescent="0.2">
      <c r="A38" t="s">
        <v>320</v>
      </c>
      <c r="B38" s="84">
        <v>19283</v>
      </c>
      <c r="C38" s="84">
        <v>17462</v>
      </c>
      <c r="D38" s="94">
        <v>59182</v>
      </c>
    </row>
    <row r="39" spans="1:4" x14ac:dyDescent="0.2">
      <c r="A39" t="s">
        <v>321</v>
      </c>
      <c r="B39" s="84">
        <v>23621</v>
      </c>
      <c r="C39" s="84">
        <v>20512</v>
      </c>
      <c r="D39" s="94">
        <v>74760</v>
      </c>
    </row>
    <row r="40" spans="1:4" x14ac:dyDescent="0.2">
      <c r="A40" t="s">
        <v>322</v>
      </c>
      <c r="B40" s="84">
        <v>12384</v>
      </c>
      <c r="C40" s="84">
        <v>10177</v>
      </c>
      <c r="D40" s="94">
        <v>47826</v>
      </c>
    </row>
    <row r="41" spans="1:4" x14ac:dyDescent="0.2">
      <c r="A41" t="s">
        <v>323</v>
      </c>
      <c r="B41" s="84">
        <v>29840</v>
      </c>
      <c r="C41" s="84">
        <v>25139</v>
      </c>
      <c r="D41" s="94">
        <v>85889</v>
      </c>
    </row>
    <row r="42" spans="1:4" x14ac:dyDescent="0.2">
      <c r="A42" t="s">
        <v>324</v>
      </c>
      <c r="B42" s="84">
        <v>29840</v>
      </c>
      <c r="C42" s="84">
        <v>25139</v>
      </c>
      <c r="D42" s="94">
        <v>85889</v>
      </c>
    </row>
    <row r="43" spans="1:4" x14ac:dyDescent="0.2">
      <c r="A43" t="s">
        <v>325</v>
      </c>
      <c r="B43" s="84">
        <v>10553</v>
      </c>
      <c r="C43" s="84">
        <v>9857</v>
      </c>
      <c r="D43" s="94">
        <v>53940</v>
      </c>
    </row>
    <row r="44" spans="1:4" x14ac:dyDescent="0.2">
      <c r="A44" t="s">
        <v>326</v>
      </c>
      <c r="B44" s="84">
        <v>16428</v>
      </c>
      <c r="C44" s="84">
        <v>14004</v>
      </c>
      <c r="D44" s="94">
        <v>53434</v>
      </c>
    </row>
    <row r="45" spans="1:4" x14ac:dyDescent="0.2">
      <c r="A45" t="s">
        <v>327</v>
      </c>
      <c r="B45" s="84">
        <v>15539</v>
      </c>
      <c r="C45" s="84">
        <v>13538</v>
      </c>
      <c r="D45" s="94">
        <v>59713</v>
      </c>
    </row>
    <row r="46" spans="1:4" x14ac:dyDescent="0.2">
      <c r="A46" t="s">
        <v>328</v>
      </c>
      <c r="B46" s="84">
        <v>10629</v>
      </c>
      <c r="C46" s="84">
        <v>9323</v>
      </c>
      <c r="D46" s="94">
        <v>52397</v>
      </c>
    </row>
    <row r="47" spans="1:4" x14ac:dyDescent="0.2">
      <c r="A47" t="s">
        <v>329</v>
      </c>
      <c r="B47" s="84">
        <v>15271</v>
      </c>
      <c r="C47" s="84">
        <v>12450</v>
      </c>
      <c r="D47" s="94">
        <v>65125</v>
      </c>
    </row>
    <row r="48" spans="1:4" x14ac:dyDescent="0.2">
      <c r="A48" t="s">
        <v>330</v>
      </c>
      <c r="B48" s="84">
        <v>21206</v>
      </c>
      <c r="C48" s="84">
        <v>16864</v>
      </c>
      <c r="D48" s="94">
        <v>68930</v>
      </c>
    </row>
    <row r="49" spans="1:4" x14ac:dyDescent="0.2">
      <c r="A49" t="s">
        <v>331</v>
      </c>
      <c r="B49" s="84">
        <v>21206</v>
      </c>
      <c r="C49" s="84">
        <v>16864</v>
      </c>
      <c r="D49" s="94">
        <v>68930</v>
      </c>
    </row>
    <row r="50" spans="1:4" x14ac:dyDescent="0.2">
      <c r="A50" t="s">
        <v>332</v>
      </c>
      <c r="B50" s="84">
        <v>19169</v>
      </c>
      <c r="C50" s="84">
        <v>16750</v>
      </c>
      <c r="D50" s="94">
        <v>67040</v>
      </c>
    </row>
    <row r="51" spans="1:4" x14ac:dyDescent="0.2">
      <c r="A51" t="s">
        <v>333</v>
      </c>
      <c r="B51" s="84">
        <v>13925</v>
      </c>
      <c r="C51" s="84">
        <v>11140</v>
      </c>
      <c r="D51" s="94">
        <v>50882</v>
      </c>
    </row>
    <row r="52" spans="1:4" x14ac:dyDescent="0.2">
      <c r="A52" t="s">
        <v>334</v>
      </c>
      <c r="B52" s="84">
        <v>12203</v>
      </c>
      <c r="C52" s="84">
        <v>10139</v>
      </c>
      <c r="D52" s="94">
        <v>48204</v>
      </c>
    </row>
    <row r="53" spans="1:4" x14ac:dyDescent="0.2">
      <c r="A53" t="s">
        <v>169</v>
      </c>
      <c r="B53" s="84">
        <v>10746</v>
      </c>
      <c r="C53" s="84">
        <v>9868</v>
      </c>
      <c r="D53" s="94">
        <v>51349</v>
      </c>
    </row>
    <row r="54" spans="1:4" x14ac:dyDescent="0.2">
      <c r="A54" t="s">
        <v>335</v>
      </c>
      <c r="B54" s="84">
        <v>12881</v>
      </c>
      <c r="C54" s="84">
        <v>9827</v>
      </c>
      <c r="D54" s="94">
        <v>54121</v>
      </c>
    </row>
    <row r="55" spans="1:4" x14ac:dyDescent="0.2">
      <c r="A55" t="s">
        <v>336</v>
      </c>
      <c r="B55" s="84">
        <v>9755</v>
      </c>
      <c r="C55" s="84">
        <v>8014</v>
      </c>
      <c r="D55" s="94">
        <v>51858</v>
      </c>
    </row>
    <row r="56" spans="1:4" x14ac:dyDescent="0.2">
      <c r="A56" t="s">
        <v>337</v>
      </c>
      <c r="B56" s="84">
        <v>22424</v>
      </c>
      <c r="C56" s="84">
        <v>20315</v>
      </c>
      <c r="D56" s="94">
        <v>60672</v>
      </c>
    </row>
    <row r="57" spans="1:4" x14ac:dyDescent="0.2">
      <c r="A57" t="s">
        <v>338</v>
      </c>
      <c r="B57" s="84">
        <v>13657</v>
      </c>
      <c r="C57" s="84">
        <v>12641</v>
      </c>
      <c r="D57" s="94">
        <v>53267</v>
      </c>
    </row>
    <row r="58" spans="1:4" x14ac:dyDescent="0.2">
      <c r="A58" t="s">
        <v>339</v>
      </c>
      <c r="B58" s="84">
        <v>17245</v>
      </c>
      <c r="C58" s="84">
        <v>14223</v>
      </c>
      <c r="D58" s="94">
        <v>73049</v>
      </c>
    </row>
    <row r="59" spans="1:4" x14ac:dyDescent="0.2">
      <c r="A59" t="s">
        <v>340</v>
      </c>
      <c r="B59" s="84">
        <v>13213</v>
      </c>
      <c r="C59" s="84">
        <v>12010</v>
      </c>
      <c r="D59" s="94">
        <v>47681</v>
      </c>
    </row>
    <row r="60" spans="1:4" x14ac:dyDescent="0.2">
      <c r="A60" t="s">
        <v>170</v>
      </c>
      <c r="B60" s="84">
        <v>14582</v>
      </c>
      <c r="C60" s="84">
        <v>12598</v>
      </c>
      <c r="D60" s="94">
        <v>58277</v>
      </c>
    </row>
    <row r="61" spans="1:4" x14ac:dyDescent="0.2">
      <c r="A61" t="s">
        <v>341</v>
      </c>
      <c r="B61" s="84">
        <v>19152</v>
      </c>
      <c r="C61" s="84">
        <v>16304</v>
      </c>
      <c r="D61" s="94">
        <v>58861</v>
      </c>
    </row>
    <row r="63" spans="1:4" x14ac:dyDescent="0.2">
      <c r="A63" t="s">
        <v>358</v>
      </c>
    </row>
    <row r="64" spans="1:4" x14ac:dyDescent="0.2">
      <c r="A64" s="113" t="s">
        <v>359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FE0BF-B240-3845-BEB9-2B1E25A16259}">
  <dimension ref="A1:F72"/>
  <sheetViews>
    <sheetView topLeftCell="A4" zoomScale="125" workbookViewId="0">
      <selection activeCell="B66" sqref="B66"/>
    </sheetView>
  </sheetViews>
  <sheetFormatPr baseColWidth="10" defaultColWidth="11" defaultRowHeight="16" x14ac:dyDescent="0.2"/>
  <cols>
    <col min="1" max="1" width="43.33203125" customWidth="1"/>
    <col min="2" max="2" width="11.1640625" customWidth="1"/>
    <col min="3" max="3" width="12" customWidth="1"/>
    <col min="4" max="4" width="12.6640625" customWidth="1"/>
    <col min="5" max="5" width="13" customWidth="1"/>
  </cols>
  <sheetData>
    <row r="1" spans="1:5" ht="19" x14ac:dyDescent="0.25">
      <c r="A1" s="22" t="s">
        <v>156</v>
      </c>
    </row>
    <row r="2" spans="1:5" ht="19" x14ac:dyDescent="0.25">
      <c r="A2" s="22" t="s">
        <v>0</v>
      </c>
    </row>
    <row r="4" spans="1:5" x14ac:dyDescent="0.2">
      <c r="A4" t="s">
        <v>360</v>
      </c>
    </row>
    <row r="5" spans="1:5" x14ac:dyDescent="0.2">
      <c r="A5" t="s">
        <v>361</v>
      </c>
    </row>
    <row r="6" spans="1:5" x14ac:dyDescent="0.2">
      <c r="A6" t="s">
        <v>362</v>
      </c>
    </row>
    <row r="8" spans="1:5" x14ac:dyDescent="0.2">
      <c r="B8" s="3" t="s">
        <v>192</v>
      </c>
      <c r="C8" s="3" t="s">
        <v>214</v>
      </c>
      <c r="D8" s="3" t="s">
        <v>215</v>
      </c>
      <c r="E8" s="3" t="s">
        <v>216</v>
      </c>
    </row>
    <row r="10" spans="1:5" x14ac:dyDescent="0.2">
      <c r="A10" t="s">
        <v>218</v>
      </c>
      <c r="B10" s="42">
        <v>9000</v>
      </c>
      <c r="C10" s="42">
        <v>9300</v>
      </c>
      <c r="D10" s="42">
        <v>9700</v>
      </c>
      <c r="E10" s="42">
        <v>10000</v>
      </c>
    </row>
    <row r="11" spans="1:5" x14ac:dyDescent="0.2">
      <c r="A11" t="s">
        <v>220</v>
      </c>
      <c r="B11" s="42">
        <v>7400</v>
      </c>
      <c r="C11" s="42">
        <v>7600</v>
      </c>
      <c r="D11" s="42">
        <v>8000</v>
      </c>
      <c r="E11" s="42">
        <v>8300</v>
      </c>
    </row>
    <row r="12" spans="1:5" x14ac:dyDescent="0.2">
      <c r="A12" t="s">
        <v>221</v>
      </c>
      <c r="B12" s="42">
        <v>7400</v>
      </c>
      <c r="C12" s="42">
        <v>7600</v>
      </c>
      <c r="D12" s="42">
        <v>8000</v>
      </c>
      <c r="E12" s="42">
        <v>8300</v>
      </c>
    </row>
    <row r="13" spans="1:5" x14ac:dyDescent="0.2">
      <c r="A13" t="s">
        <v>222</v>
      </c>
      <c r="B13" s="61" t="s">
        <v>180</v>
      </c>
      <c r="C13" s="61" t="s">
        <v>180</v>
      </c>
      <c r="D13" s="61" t="s">
        <v>180</v>
      </c>
      <c r="E13" s="61" t="s">
        <v>180</v>
      </c>
    </row>
    <row r="15" spans="1:5" x14ac:dyDescent="0.2">
      <c r="A15" t="s">
        <v>223</v>
      </c>
      <c r="B15">
        <v>240</v>
      </c>
      <c r="C15">
        <v>240</v>
      </c>
      <c r="D15">
        <v>240</v>
      </c>
      <c r="E15">
        <v>240</v>
      </c>
    </row>
    <row r="16" spans="1:5" x14ac:dyDescent="0.2">
      <c r="A16" t="s">
        <v>224</v>
      </c>
      <c r="B16">
        <v>248</v>
      </c>
      <c r="C16">
        <v>296</v>
      </c>
      <c r="D16">
        <v>341</v>
      </c>
      <c r="E16">
        <v>365</v>
      </c>
    </row>
    <row r="17" spans="1:6" x14ac:dyDescent="0.2">
      <c r="A17" t="s">
        <v>225</v>
      </c>
      <c r="B17">
        <v>32</v>
      </c>
      <c r="C17">
        <v>20</v>
      </c>
      <c r="D17">
        <v>15</v>
      </c>
      <c r="E17">
        <v>31</v>
      </c>
    </row>
    <row r="18" spans="1:6" x14ac:dyDescent="0.2">
      <c r="A18" t="s">
        <v>226</v>
      </c>
    </row>
    <row r="19" spans="1:6" x14ac:dyDescent="0.2">
      <c r="A19" t="s">
        <v>227</v>
      </c>
      <c r="B19" s="11">
        <f>SUM(B15:B18)</f>
        <v>520</v>
      </c>
      <c r="C19" s="11">
        <f t="shared" ref="C19:E19" si="0">SUM(C15:C18)</f>
        <v>556</v>
      </c>
      <c r="D19" s="11">
        <f t="shared" si="0"/>
        <v>596</v>
      </c>
      <c r="E19" s="11">
        <f t="shared" si="0"/>
        <v>636</v>
      </c>
    </row>
    <row r="21" spans="1:6" x14ac:dyDescent="0.2">
      <c r="A21" t="s">
        <v>231</v>
      </c>
      <c r="B21" s="54">
        <v>16.399999999999999</v>
      </c>
      <c r="C21" s="54">
        <v>17.399999999999999</v>
      </c>
      <c r="D21" s="54">
        <v>18.399999999999999</v>
      </c>
      <c r="E21" s="54">
        <v>18.399999999999999</v>
      </c>
    </row>
    <row r="22" spans="1:6" x14ac:dyDescent="0.2">
      <c r="A22" t="s">
        <v>232</v>
      </c>
      <c r="B22" s="54">
        <v>18</v>
      </c>
      <c r="C22" s="54">
        <v>18</v>
      </c>
      <c r="D22" s="54">
        <v>18</v>
      </c>
      <c r="E22" s="54">
        <v>18</v>
      </c>
    </row>
    <row r="23" spans="1:6" x14ac:dyDescent="0.2">
      <c r="A23" t="s">
        <v>233</v>
      </c>
      <c r="B23" s="54">
        <v>2</v>
      </c>
      <c r="C23" s="54">
        <v>2</v>
      </c>
      <c r="D23" s="54">
        <v>2</v>
      </c>
      <c r="E23" s="54">
        <v>2</v>
      </c>
    </row>
    <row r="24" spans="1:6" x14ac:dyDescent="0.2">
      <c r="A24" t="s">
        <v>234</v>
      </c>
      <c r="B24" s="54">
        <f>+B18/Inputs!E39</f>
        <v>0</v>
      </c>
      <c r="C24" s="54">
        <v>0</v>
      </c>
      <c r="D24" s="54">
        <v>0</v>
      </c>
      <c r="E24" s="54">
        <v>0</v>
      </c>
    </row>
    <row r="25" spans="1:6" x14ac:dyDescent="0.2">
      <c r="B25" s="56">
        <f>SUM(B21:B24)</f>
        <v>36.4</v>
      </c>
      <c r="C25" s="56">
        <f t="shared" ref="C25:E25" si="1">SUM(C21:C24)</f>
        <v>37.4</v>
      </c>
      <c r="D25" s="56">
        <f t="shared" si="1"/>
        <v>38.4</v>
      </c>
      <c r="E25" s="56">
        <f t="shared" si="1"/>
        <v>38.4</v>
      </c>
    </row>
    <row r="26" spans="1:6" x14ac:dyDescent="0.2">
      <c r="A26" t="s">
        <v>53</v>
      </c>
      <c r="B26" s="60">
        <v>41200</v>
      </c>
      <c r="C26" s="42">
        <f>+B26*1.03</f>
        <v>42436</v>
      </c>
      <c r="D26" s="42">
        <f t="shared" ref="D26:E26" si="2">+C26*1.03</f>
        <v>43709.08</v>
      </c>
      <c r="E26" s="42">
        <f t="shared" si="2"/>
        <v>45020.352400000003</v>
      </c>
      <c r="F26" t="s">
        <v>363</v>
      </c>
    </row>
    <row r="27" spans="1:6" x14ac:dyDescent="0.2">
      <c r="A27" t="s">
        <v>54</v>
      </c>
      <c r="B27" s="62">
        <v>0.215</v>
      </c>
      <c r="C27" s="62">
        <v>0.215</v>
      </c>
      <c r="D27" s="62">
        <v>0.215</v>
      </c>
      <c r="E27" s="62">
        <v>0.215</v>
      </c>
    </row>
    <row r="28" spans="1:6" x14ac:dyDescent="0.2">
      <c r="B28" s="55"/>
    </row>
    <row r="29" spans="1:6" x14ac:dyDescent="0.2">
      <c r="A29" t="s">
        <v>33</v>
      </c>
      <c r="B29" s="43">
        <v>0.28999999999999998</v>
      </c>
      <c r="C29" s="43">
        <v>0.28999999999999998</v>
      </c>
      <c r="D29" s="43">
        <v>0.28999999999999998</v>
      </c>
      <c r="E29" s="43">
        <v>0.28999999999999998</v>
      </c>
      <c r="F29" t="s">
        <v>364</v>
      </c>
    </row>
    <row r="30" spans="1:6" x14ac:dyDescent="0.2">
      <c r="A30" t="s">
        <v>235</v>
      </c>
      <c r="B30" s="58">
        <v>10.7</v>
      </c>
      <c r="C30" s="58">
        <v>10.7</v>
      </c>
      <c r="D30" s="58">
        <v>10.7</v>
      </c>
      <c r="E30" s="58">
        <v>10.7</v>
      </c>
    </row>
    <row r="31" spans="1:6" x14ac:dyDescent="0.2">
      <c r="A31" t="s">
        <v>35</v>
      </c>
      <c r="B31" s="42">
        <v>56900</v>
      </c>
      <c r="C31" s="42">
        <f>+B31*1.03</f>
        <v>58607</v>
      </c>
      <c r="D31" s="42">
        <f t="shared" ref="D31:E31" si="3">+C31*1.03</f>
        <v>60365.21</v>
      </c>
      <c r="E31" s="42">
        <f t="shared" si="3"/>
        <v>62176.166299999997</v>
      </c>
    </row>
    <row r="32" spans="1:6" x14ac:dyDescent="0.2">
      <c r="A32" t="s">
        <v>365</v>
      </c>
      <c r="B32" s="42">
        <f>+Inputs!D24</f>
        <v>1000</v>
      </c>
      <c r="C32">
        <v>1000</v>
      </c>
      <c r="D32">
        <v>1000</v>
      </c>
      <c r="E32">
        <v>1000</v>
      </c>
      <c r="F32" t="s">
        <v>366</v>
      </c>
    </row>
    <row r="34" spans="1:5" x14ac:dyDescent="0.2">
      <c r="A34" t="s">
        <v>59</v>
      </c>
      <c r="B34" s="42">
        <f>+B65/B19</f>
        <v>342.30769230769232</v>
      </c>
      <c r="C34" s="42">
        <f t="shared" ref="C34:E34" si="4">+C65/C19</f>
        <v>395.24100719424462</v>
      </c>
      <c r="D34" s="42">
        <f t="shared" si="4"/>
        <v>442.17953020134229</v>
      </c>
      <c r="E34" s="42">
        <f t="shared" si="4"/>
        <v>491.59748427672957</v>
      </c>
    </row>
    <row r="35" spans="1:5" x14ac:dyDescent="0.2">
      <c r="A35" t="s">
        <v>60</v>
      </c>
      <c r="B35" s="42">
        <f>+B34</f>
        <v>342.30769230769232</v>
      </c>
      <c r="C35" s="42">
        <f t="shared" ref="C35:E35" si="5">+C34</f>
        <v>395.24100719424462</v>
      </c>
      <c r="D35" s="42">
        <f t="shared" si="5"/>
        <v>442.17953020134229</v>
      </c>
      <c r="E35" s="42">
        <f t="shared" si="5"/>
        <v>491.59748427672957</v>
      </c>
    </row>
    <row r="36" spans="1:5" x14ac:dyDescent="0.2">
      <c r="A36" t="s">
        <v>61</v>
      </c>
      <c r="B36" s="42">
        <v>0</v>
      </c>
      <c r="C36" s="42">
        <v>0</v>
      </c>
      <c r="D36" s="42">
        <v>0</v>
      </c>
      <c r="E36" s="42">
        <v>0</v>
      </c>
    </row>
    <row r="37" spans="1:5" x14ac:dyDescent="0.2">
      <c r="B37" s="42"/>
      <c r="C37" s="42"/>
      <c r="D37" s="42"/>
      <c r="E37" s="42"/>
    </row>
    <row r="38" spans="1:5" x14ac:dyDescent="0.2">
      <c r="A38" t="s">
        <v>367</v>
      </c>
      <c r="B38" s="63">
        <v>0</v>
      </c>
      <c r="C38" s="63">
        <v>0</v>
      </c>
      <c r="D38" s="63">
        <v>0</v>
      </c>
      <c r="E38" s="63">
        <v>0</v>
      </c>
    </row>
    <row r="39" spans="1:5" x14ac:dyDescent="0.2">
      <c r="A39" t="s">
        <v>368</v>
      </c>
      <c r="B39" s="42">
        <v>0</v>
      </c>
      <c r="C39" s="42">
        <v>0</v>
      </c>
      <c r="D39" s="42">
        <v>0</v>
      </c>
      <c r="E39" s="42">
        <v>0</v>
      </c>
    </row>
    <row r="40" spans="1:5" x14ac:dyDescent="0.2">
      <c r="A40" t="s">
        <v>369</v>
      </c>
      <c r="B40" s="42">
        <v>0</v>
      </c>
      <c r="C40" s="42">
        <v>0</v>
      </c>
      <c r="D40" s="42">
        <v>0</v>
      </c>
      <c r="E40" s="42">
        <v>0</v>
      </c>
    </row>
    <row r="42" spans="1:5" x14ac:dyDescent="0.2">
      <c r="A42" t="s">
        <v>370</v>
      </c>
      <c r="B42" s="69" t="s">
        <v>189</v>
      </c>
      <c r="C42" s="69" t="s">
        <v>189</v>
      </c>
      <c r="D42" s="69" t="s">
        <v>189</v>
      </c>
      <c r="E42" s="69" t="s">
        <v>189</v>
      </c>
    </row>
    <row r="44" spans="1:5" x14ac:dyDescent="0.2">
      <c r="B44" s="3" t="s">
        <v>192</v>
      </c>
      <c r="C44" s="3" t="s">
        <v>214</v>
      </c>
      <c r="D44" s="3" t="s">
        <v>215</v>
      </c>
      <c r="E44" s="3" t="s">
        <v>216</v>
      </c>
    </row>
    <row r="45" spans="1:5" x14ac:dyDescent="0.2">
      <c r="A45" t="s">
        <v>236</v>
      </c>
      <c r="B45" s="38">
        <v>1870577</v>
      </c>
      <c r="C45" s="38">
        <v>1942950</v>
      </c>
      <c r="D45" s="38">
        <v>2019465</v>
      </c>
      <c r="E45" s="38">
        <v>2098888</v>
      </c>
    </row>
    <row r="46" spans="1:5" x14ac:dyDescent="0.2">
      <c r="A46" t="s">
        <v>237</v>
      </c>
      <c r="B46" s="38">
        <v>1697300</v>
      </c>
      <c r="C46" s="38">
        <v>2108636</v>
      </c>
      <c r="D46" s="38">
        <v>2509615</v>
      </c>
      <c r="E46" s="38">
        <v>2784388</v>
      </c>
    </row>
    <row r="47" spans="1:5" x14ac:dyDescent="0.2">
      <c r="A47" t="s">
        <v>238</v>
      </c>
      <c r="B47" s="38">
        <v>209613</v>
      </c>
      <c r="C47" s="38">
        <v>136044</v>
      </c>
      <c r="D47" s="38">
        <v>106039</v>
      </c>
      <c r="E47" s="38">
        <v>227739</v>
      </c>
    </row>
    <row r="48" spans="1:5" x14ac:dyDescent="0.2">
      <c r="A48" t="s">
        <v>239</v>
      </c>
      <c r="B48" s="38">
        <v>0</v>
      </c>
      <c r="C48" s="38"/>
      <c r="D48" s="38"/>
      <c r="E48" s="38"/>
    </row>
    <row r="49" spans="1:6" x14ac:dyDescent="0.2">
      <c r="A49" t="s">
        <v>240</v>
      </c>
      <c r="B49" s="39">
        <f>SUM(B45:B48)</f>
        <v>3777490</v>
      </c>
      <c r="C49" s="39">
        <f t="shared" ref="C49:E49" si="6">SUM(C45:C48)</f>
        <v>4187630</v>
      </c>
      <c r="D49" s="39">
        <f t="shared" si="6"/>
        <v>4635119</v>
      </c>
      <c r="E49" s="39">
        <f t="shared" si="6"/>
        <v>5111015</v>
      </c>
      <c r="F49" t="s">
        <v>371</v>
      </c>
    </row>
    <row r="50" spans="1:6" x14ac:dyDescent="0.2">
      <c r="A50" t="s">
        <v>241</v>
      </c>
      <c r="B50" s="38">
        <v>-67824</v>
      </c>
      <c r="C50" s="38">
        <v>-70537</v>
      </c>
      <c r="D50" s="38">
        <v>-73358</v>
      </c>
      <c r="E50" s="38">
        <v>-76292</v>
      </c>
    </row>
    <row r="51" spans="1:6" x14ac:dyDescent="0.2">
      <c r="A51" t="s">
        <v>372</v>
      </c>
      <c r="B51" s="38">
        <v>0</v>
      </c>
      <c r="C51" s="38">
        <v>0</v>
      </c>
      <c r="D51" s="38">
        <v>0</v>
      </c>
      <c r="E51" s="38">
        <v>0</v>
      </c>
    </row>
    <row r="52" spans="1:6" x14ac:dyDescent="0.2">
      <c r="A52" t="s">
        <v>373</v>
      </c>
      <c r="B52" s="39">
        <f>+B50+B49</f>
        <v>3709666</v>
      </c>
      <c r="C52" s="39">
        <f t="shared" ref="C52:E52" si="7">+C50+C49</f>
        <v>4117093</v>
      </c>
      <c r="D52" s="39">
        <f t="shared" si="7"/>
        <v>4561761</v>
      </c>
      <c r="E52" s="39">
        <f t="shared" si="7"/>
        <v>5034723</v>
      </c>
      <c r="F52" t="s">
        <v>374</v>
      </c>
    </row>
    <row r="54" spans="1:6" x14ac:dyDescent="0.2">
      <c r="A54" t="s">
        <v>246</v>
      </c>
      <c r="B54" s="40">
        <f>-B51</f>
        <v>0</v>
      </c>
      <c r="C54" s="40">
        <f>-C51</f>
        <v>0</v>
      </c>
      <c r="D54" s="40">
        <f>-D51</f>
        <v>0</v>
      </c>
      <c r="E54" s="40">
        <f>-E51</f>
        <v>0</v>
      </c>
    </row>
    <row r="55" spans="1:6" x14ac:dyDescent="0.2">
      <c r="A55" t="s">
        <v>29</v>
      </c>
      <c r="B55" s="38">
        <v>252960</v>
      </c>
      <c r="C55" s="38">
        <v>258019</v>
      </c>
      <c r="D55" s="38">
        <v>263180</v>
      </c>
      <c r="E55" s="38">
        <v>268443</v>
      </c>
    </row>
    <row r="56" spans="1:6" x14ac:dyDescent="0.2">
      <c r="A56" t="s">
        <v>31</v>
      </c>
      <c r="B56" s="38">
        <v>0</v>
      </c>
      <c r="C56" s="38">
        <v>0</v>
      </c>
      <c r="D56" s="38">
        <v>0</v>
      </c>
      <c r="E56" s="38">
        <v>0</v>
      </c>
    </row>
    <row r="57" spans="1:6" x14ac:dyDescent="0.2">
      <c r="A57" s="21" t="s">
        <v>248</v>
      </c>
      <c r="B57" s="41">
        <f>SUM(B52:B56)</f>
        <v>3962626</v>
      </c>
      <c r="C57" s="41">
        <f t="shared" ref="C57:E57" si="8">SUM(C52:C56)</f>
        <v>4375112</v>
      </c>
      <c r="D57" s="41">
        <f t="shared" si="8"/>
        <v>4824941</v>
      </c>
      <c r="E57" s="41">
        <f t="shared" si="8"/>
        <v>5303166</v>
      </c>
    </row>
    <row r="59" spans="1:6" x14ac:dyDescent="0.2">
      <c r="A59" t="s">
        <v>249</v>
      </c>
      <c r="B59" s="38">
        <v>1498723</v>
      </c>
      <c r="C59" s="38">
        <v>1587974</v>
      </c>
      <c r="D59" s="38">
        <v>1681234</v>
      </c>
      <c r="E59" s="38">
        <v>1731671</v>
      </c>
    </row>
    <row r="60" spans="1:6" x14ac:dyDescent="0.2">
      <c r="A60" t="s">
        <v>250</v>
      </c>
      <c r="B60" s="38">
        <v>608634</v>
      </c>
      <c r="C60" s="38">
        <v>626893</v>
      </c>
      <c r="D60" s="38">
        <v>645700</v>
      </c>
      <c r="E60" s="38">
        <v>665071</v>
      </c>
    </row>
    <row r="61" spans="1:6" x14ac:dyDescent="0.2">
      <c r="A61" t="s">
        <v>375</v>
      </c>
      <c r="B61" s="38">
        <v>243535</v>
      </c>
      <c r="C61" s="38">
        <v>250842</v>
      </c>
      <c r="D61" s="38">
        <v>258366</v>
      </c>
      <c r="E61" s="38">
        <v>266118</v>
      </c>
    </row>
    <row r="62" spans="1:6" x14ac:dyDescent="0.2">
      <c r="A62" t="s">
        <v>251</v>
      </c>
      <c r="B62" s="38">
        <f>+(B59+B60+B61)*0.215</f>
        <v>505441.77999999997</v>
      </c>
      <c r="C62" s="38">
        <f t="shared" ref="C62:E62" si="9">+(C59+C60+C61)*0.215</f>
        <v>530127.43499999994</v>
      </c>
      <c r="D62" s="38">
        <f t="shared" si="9"/>
        <v>555839.5</v>
      </c>
      <c r="E62" s="38">
        <f t="shared" si="9"/>
        <v>572514.9</v>
      </c>
    </row>
    <row r="63" spans="1:6" x14ac:dyDescent="0.2">
      <c r="A63" t="s">
        <v>252</v>
      </c>
      <c r="B63" s="39">
        <f>SUM(B59:B62)</f>
        <v>2856333.78</v>
      </c>
      <c r="C63" s="39">
        <f t="shared" ref="C63:E63" si="10">SUM(C59:C62)</f>
        <v>2995836.4350000001</v>
      </c>
      <c r="D63" s="39">
        <f t="shared" si="10"/>
        <v>3141139.5</v>
      </c>
      <c r="E63" s="39">
        <f t="shared" si="10"/>
        <v>3235374.9</v>
      </c>
    </row>
    <row r="64" spans="1:6" x14ac:dyDescent="0.2">
      <c r="B64" s="38"/>
    </row>
    <row r="65" spans="1:5" x14ac:dyDescent="0.2">
      <c r="A65" t="s">
        <v>253</v>
      </c>
      <c r="B65" s="38">
        <v>178000</v>
      </c>
      <c r="C65" s="38">
        <v>219754</v>
      </c>
      <c r="D65" s="38">
        <v>263539</v>
      </c>
      <c r="E65" s="38">
        <v>312656</v>
      </c>
    </row>
    <row r="66" spans="1:5" x14ac:dyDescent="0.2">
      <c r="A66" t="s">
        <v>254</v>
      </c>
      <c r="B66" s="38">
        <v>520000</v>
      </c>
      <c r="C66" s="38">
        <v>556000</v>
      </c>
      <c r="D66" s="38">
        <v>596000</v>
      </c>
      <c r="E66" s="38">
        <v>636000</v>
      </c>
    </row>
    <row r="67" spans="1:5" x14ac:dyDescent="0.2">
      <c r="A67" t="s">
        <v>43</v>
      </c>
      <c r="B67" s="38">
        <v>50000</v>
      </c>
      <c r="C67" s="38">
        <v>50000</v>
      </c>
      <c r="D67" s="38">
        <v>50000</v>
      </c>
      <c r="E67" s="38">
        <v>50000</v>
      </c>
    </row>
    <row r="68" spans="1:5" x14ac:dyDescent="0.2">
      <c r="A68" t="s">
        <v>255</v>
      </c>
      <c r="B68" s="38">
        <v>0</v>
      </c>
      <c r="C68" s="38">
        <v>0</v>
      </c>
      <c r="D68" s="38">
        <v>0</v>
      </c>
      <c r="E68" s="38">
        <v>0</v>
      </c>
    </row>
    <row r="69" spans="1:5" x14ac:dyDescent="0.2">
      <c r="A69" s="21" t="s">
        <v>256</v>
      </c>
      <c r="B69" s="41">
        <f>SUM(B63:B68)</f>
        <v>3604333.78</v>
      </c>
      <c r="C69" s="41">
        <f t="shared" ref="C69:E69" si="11">SUM(C63:C68)</f>
        <v>3821590.4350000001</v>
      </c>
      <c r="D69" s="41">
        <f t="shared" si="11"/>
        <v>4050678.5</v>
      </c>
      <c r="E69" s="41">
        <f t="shared" si="11"/>
        <v>4234030.9000000004</v>
      </c>
    </row>
    <row r="70" spans="1:5" x14ac:dyDescent="0.2">
      <c r="B70" s="38"/>
      <c r="C70" s="38"/>
      <c r="D70" s="38"/>
      <c r="E70" s="38"/>
    </row>
    <row r="71" spans="1:5" ht="17" thickBot="1" x14ac:dyDescent="0.25">
      <c r="A71" s="21" t="s">
        <v>257</v>
      </c>
      <c r="B71" s="46">
        <f>+B57-B69</f>
        <v>358292.2200000002</v>
      </c>
      <c r="C71" s="46">
        <f t="shared" ref="C71:E71" si="12">+C57-C69</f>
        <v>553521.56499999994</v>
      </c>
      <c r="D71" s="46">
        <f t="shared" si="12"/>
        <v>774262.5</v>
      </c>
      <c r="E71" s="46">
        <f t="shared" si="12"/>
        <v>1069135.0999999996</v>
      </c>
    </row>
    <row r="72" spans="1:5" ht="17" thickTop="1" x14ac:dyDescent="0.2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209FB-B6C7-C040-9B39-CE25C71C20A8}">
  <dimension ref="A1:F72"/>
  <sheetViews>
    <sheetView zoomScale="125" workbookViewId="0">
      <selection activeCell="B26" sqref="B26:E26"/>
    </sheetView>
  </sheetViews>
  <sheetFormatPr baseColWidth="10" defaultColWidth="11" defaultRowHeight="16" x14ac:dyDescent="0.2"/>
  <cols>
    <col min="1" max="1" width="43.1640625" customWidth="1"/>
    <col min="2" max="2" width="11.1640625" customWidth="1"/>
    <col min="3" max="3" width="12" customWidth="1"/>
    <col min="4" max="4" width="12.6640625" customWidth="1"/>
    <col min="5" max="5" width="13" customWidth="1"/>
  </cols>
  <sheetData>
    <row r="1" spans="1:5" ht="19" x14ac:dyDescent="0.25">
      <c r="A1" s="22" t="s">
        <v>157</v>
      </c>
    </row>
    <row r="2" spans="1:5" ht="19" x14ac:dyDescent="0.25">
      <c r="A2" s="22" t="s">
        <v>0</v>
      </c>
    </row>
    <row r="4" spans="1:5" x14ac:dyDescent="0.2">
      <c r="A4" t="s">
        <v>376</v>
      </c>
    </row>
    <row r="5" spans="1:5" x14ac:dyDescent="0.2">
      <c r="A5" t="s">
        <v>377</v>
      </c>
    </row>
    <row r="7" spans="1:5" x14ac:dyDescent="0.2">
      <c r="B7" s="3" t="s">
        <v>192</v>
      </c>
      <c r="C7" s="3" t="s">
        <v>214</v>
      </c>
      <c r="D7" s="3" t="s">
        <v>215</v>
      </c>
      <c r="E7" s="3" t="s">
        <v>216</v>
      </c>
    </row>
    <row r="9" spans="1:5" x14ac:dyDescent="0.2">
      <c r="A9" t="s">
        <v>218</v>
      </c>
      <c r="B9" s="42"/>
      <c r="C9" s="42"/>
      <c r="D9" s="42"/>
      <c r="E9" s="42"/>
    </row>
    <row r="10" spans="1:5" x14ac:dyDescent="0.2">
      <c r="A10" t="s">
        <v>220</v>
      </c>
      <c r="B10" s="42">
        <v>12750</v>
      </c>
      <c r="C10" s="42">
        <f>+B10*1.02</f>
        <v>13005</v>
      </c>
      <c r="D10" s="42">
        <f t="shared" ref="D10:E10" si="0">+C10*1.02</f>
        <v>13265.1</v>
      </c>
      <c r="E10" s="42">
        <f t="shared" si="0"/>
        <v>13530.402</v>
      </c>
    </row>
    <row r="11" spans="1:5" x14ac:dyDescent="0.2">
      <c r="A11" t="s">
        <v>221</v>
      </c>
      <c r="B11" s="42">
        <v>12750</v>
      </c>
      <c r="C11" s="42">
        <f>+B11*1.02</f>
        <v>13005</v>
      </c>
      <c r="D11" s="42">
        <f t="shared" ref="D11:E11" si="1">+C11*1.02</f>
        <v>13265.1</v>
      </c>
      <c r="E11" s="42">
        <f t="shared" si="1"/>
        <v>13530.402</v>
      </c>
    </row>
    <row r="12" spans="1:5" x14ac:dyDescent="0.2">
      <c r="A12" t="s">
        <v>222</v>
      </c>
      <c r="B12" s="61" t="s">
        <v>180</v>
      </c>
      <c r="C12" s="61" t="s">
        <v>180</v>
      </c>
      <c r="D12" s="61" t="s">
        <v>180</v>
      </c>
      <c r="E12" s="61" t="s">
        <v>180</v>
      </c>
    </row>
    <row r="14" spans="1:5" x14ac:dyDescent="0.2">
      <c r="A14" t="s">
        <v>223</v>
      </c>
      <c r="B14" s="38">
        <v>0</v>
      </c>
      <c r="C14" s="38">
        <v>0</v>
      </c>
      <c r="D14" s="38">
        <v>0</v>
      </c>
      <c r="E14" s="38">
        <v>0</v>
      </c>
    </row>
    <row r="15" spans="1:5" x14ac:dyDescent="0.2">
      <c r="A15" t="s">
        <v>378</v>
      </c>
      <c r="B15" s="38">
        <v>44</v>
      </c>
      <c r="C15" s="38">
        <v>56</v>
      </c>
      <c r="D15" s="38">
        <v>62</v>
      </c>
      <c r="E15" s="38">
        <v>98</v>
      </c>
    </row>
    <row r="16" spans="1:5" x14ac:dyDescent="0.2">
      <c r="A16" t="s">
        <v>225</v>
      </c>
      <c r="B16" s="38">
        <v>10</v>
      </c>
      <c r="C16" s="38">
        <v>26</v>
      </c>
      <c r="D16" s="38">
        <v>42</v>
      </c>
      <c r="E16" s="38">
        <v>48</v>
      </c>
    </row>
    <row r="17" spans="1:6" x14ac:dyDescent="0.2">
      <c r="A17" t="s">
        <v>226</v>
      </c>
      <c r="B17" s="38">
        <v>0</v>
      </c>
      <c r="C17" s="38">
        <v>0</v>
      </c>
      <c r="D17" s="38">
        <v>0</v>
      </c>
      <c r="E17" s="38">
        <v>0</v>
      </c>
    </row>
    <row r="18" spans="1:6" x14ac:dyDescent="0.2">
      <c r="A18" t="s">
        <v>227</v>
      </c>
      <c r="B18" s="39">
        <f>SUM(B14:B17)</f>
        <v>54</v>
      </c>
      <c r="C18" s="39">
        <f t="shared" ref="C18:E18" si="2">SUM(C14:C17)</f>
        <v>82</v>
      </c>
      <c r="D18" s="39">
        <f t="shared" si="2"/>
        <v>104</v>
      </c>
      <c r="E18" s="39">
        <f t="shared" si="2"/>
        <v>146</v>
      </c>
    </row>
    <row r="20" spans="1:6" x14ac:dyDescent="0.2">
      <c r="A20" t="s">
        <v>231</v>
      </c>
      <c r="B20" s="47">
        <v>0</v>
      </c>
      <c r="C20" s="47">
        <v>0</v>
      </c>
      <c r="D20" s="47">
        <v>0</v>
      </c>
      <c r="E20" s="47">
        <v>0</v>
      </c>
    </row>
    <row r="21" spans="1:6" x14ac:dyDescent="0.2">
      <c r="A21" t="s">
        <v>232</v>
      </c>
      <c r="B21" s="47">
        <v>6</v>
      </c>
      <c r="C21" s="47">
        <v>9</v>
      </c>
      <c r="D21" s="47">
        <v>11</v>
      </c>
      <c r="E21" s="47">
        <v>15</v>
      </c>
    </row>
    <row r="22" spans="1:6" x14ac:dyDescent="0.2">
      <c r="A22" t="s">
        <v>233</v>
      </c>
      <c r="B22" s="47">
        <v>1</v>
      </c>
      <c r="C22" s="47">
        <v>2</v>
      </c>
      <c r="D22" s="47">
        <v>3</v>
      </c>
      <c r="E22" s="47">
        <v>3</v>
      </c>
    </row>
    <row r="23" spans="1:6" x14ac:dyDescent="0.2">
      <c r="A23" t="s">
        <v>234</v>
      </c>
      <c r="B23" s="47">
        <f>+B17/Inputs!E39</f>
        <v>0</v>
      </c>
      <c r="C23" s="47">
        <v>0</v>
      </c>
      <c r="D23" s="47">
        <v>0</v>
      </c>
      <c r="E23" s="47">
        <v>0</v>
      </c>
    </row>
    <row r="24" spans="1:6" x14ac:dyDescent="0.2">
      <c r="B24" s="49">
        <f>SUM(B20:B23)</f>
        <v>7</v>
      </c>
      <c r="C24" s="49">
        <f t="shared" ref="C24:E24" si="3">SUM(C20:C23)</f>
        <v>11</v>
      </c>
      <c r="D24" s="49">
        <f t="shared" si="3"/>
        <v>14</v>
      </c>
      <c r="E24" s="49">
        <f t="shared" si="3"/>
        <v>18</v>
      </c>
    </row>
    <row r="25" spans="1:6" x14ac:dyDescent="0.2">
      <c r="A25" t="s">
        <v>53</v>
      </c>
      <c r="B25" s="60">
        <v>36720</v>
      </c>
      <c r="C25" s="42">
        <f>+B25*1.02</f>
        <v>37454.400000000001</v>
      </c>
      <c r="D25" s="42">
        <f t="shared" ref="D25:E25" si="4">+C25*1.02</f>
        <v>38203.488000000005</v>
      </c>
      <c r="E25" s="42">
        <f t="shared" si="4"/>
        <v>38967.557760000003</v>
      </c>
      <c r="F25" t="s">
        <v>379</v>
      </c>
    </row>
    <row r="26" spans="1:6" x14ac:dyDescent="0.2">
      <c r="A26" t="s">
        <v>54</v>
      </c>
      <c r="B26" s="62">
        <v>0.26800000000000002</v>
      </c>
      <c r="C26" s="62">
        <v>0.27400000000000002</v>
      </c>
      <c r="D26" s="62">
        <v>0.27800000000000002</v>
      </c>
      <c r="E26" s="62">
        <v>0.28000000000000003</v>
      </c>
    </row>
    <row r="27" spans="1:6" x14ac:dyDescent="0.2">
      <c r="B27" s="55"/>
    </row>
    <row r="28" spans="1:6" x14ac:dyDescent="0.2">
      <c r="A28" t="s">
        <v>33</v>
      </c>
      <c r="B28" s="43">
        <v>0.18</v>
      </c>
      <c r="C28" s="43">
        <v>0.11</v>
      </c>
      <c r="D28" s="43">
        <v>0.11</v>
      </c>
      <c r="E28" s="43">
        <v>0.11</v>
      </c>
      <c r="F28" t="s">
        <v>364</v>
      </c>
    </row>
    <row r="29" spans="1:6" x14ac:dyDescent="0.2">
      <c r="A29" t="s">
        <v>235</v>
      </c>
      <c r="B29" s="58">
        <v>1.25</v>
      </c>
      <c r="C29" s="58">
        <v>1.25</v>
      </c>
      <c r="D29" s="58">
        <v>1.5</v>
      </c>
      <c r="E29" s="58">
        <v>2</v>
      </c>
    </row>
    <row r="30" spans="1:6" x14ac:dyDescent="0.2">
      <c r="A30" t="s">
        <v>35</v>
      </c>
      <c r="B30" s="42">
        <v>59160</v>
      </c>
      <c r="C30" s="42">
        <f>+B30*1.02</f>
        <v>60343.200000000004</v>
      </c>
      <c r="D30" s="42">
        <f t="shared" ref="D30:E30" si="5">+C30*1.02</f>
        <v>61550.064000000006</v>
      </c>
      <c r="E30" s="42">
        <f t="shared" si="5"/>
        <v>62781.06528000001</v>
      </c>
    </row>
    <row r="31" spans="1:6" x14ac:dyDescent="0.2">
      <c r="A31" t="s">
        <v>365</v>
      </c>
      <c r="B31" s="63">
        <v>1784</v>
      </c>
      <c r="C31" s="63">
        <v>1139</v>
      </c>
      <c r="D31" s="63">
        <v>968</v>
      </c>
      <c r="E31" s="63">
        <v>771</v>
      </c>
      <c r="F31" t="s">
        <v>366</v>
      </c>
    </row>
    <row r="33" spans="1:5" x14ac:dyDescent="0.2">
      <c r="A33" t="s">
        <v>59</v>
      </c>
      <c r="B33" s="63">
        <v>781</v>
      </c>
      <c r="C33" s="63">
        <v>755</v>
      </c>
      <c r="D33" s="63">
        <v>795</v>
      </c>
      <c r="E33" s="63">
        <v>800</v>
      </c>
    </row>
    <row r="34" spans="1:5" x14ac:dyDescent="0.2">
      <c r="A34" t="s">
        <v>60</v>
      </c>
      <c r="B34" s="63">
        <v>781</v>
      </c>
      <c r="C34" s="63">
        <v>755</v>
      </c>
      <c r="D34" s="63">
        <v>795</v>
      </c>
      <c r="E34" s="63">
        <f t="shared" ref="E34" si="6">+E33</f>
        <v>800</v>
      </c>
    </row>
    <row r="35" spans="1:5" x14ac:dyDescent="0.2">
      <c r="A35" t="s">
        <v>61</v>
      </c>
      <c r="B35" s="63">
        <v>0</v>
      </c>
      <c r="C35" s="63">
        <v>0</v>
      </c>
      <c r="D35" s="63">
        <v>0</v>
      </c>
      <c r="E35" s="63">
        <v>0</v>
      </c>
    </row>
    <row r="36" spans="1:5" x14ac:dyDescent="0.2">
      <c r="B36" s="63"/>
      <c r="C36" s="63"/>
      <c r="D36" s="63"/>
      <c r="E36" s="63"/>
    </row>
    <row r="37" spans="1:5" x14ac:dyDescent="0.2">
      <c r="A37" t="s">
        <v>367</v>
      </c>
      <c r="B37" s="63">
        <v>0</v>
      </c>
      <c r="C37" s="63">
        <v>0</v>
      </c>
      <c r="D37" s="63">
        <v>0</v>
      </c>
      <c r="E37" s="63">
        <v>0</v>
      </c>
    </row>
    <row r="38" spans="1:5" x14ac:dyDescent="0.2">
      <c r="A38" t="s">
        <v>368</v>
      </c>
      <c r="B38" s="63">
        <v>0</v>
      </c>
      <c r="C38" s="63">
        <v>0</v>
      </c>
      <c r="D38" s="63">
        <v>0</v>
      </c>
      <c r="E38" s="63">
        <v>0</v>
      </c>
    </row>
    <row r="39" spans="1:5" x14ac:dyDescent="0.2">
      <c r="A39" t="s">
        <v>369</v>
      </c>
      <c r="B39" s="63">
        <v>0</v>
      </c>
      <c r="C39" s="63">
        <v>0</v>
      </c>
      <c r="D39" s="63">
        <v>0</v>
      </c>
      <c r="E39" s="63">
        <v>0</v>
      </c>
    </row>
    <row r="40" spans="1:5" x14ac:dyDescent="0.2">
      <c r="B40" s="63"/>
      <c r="C40" s="63"/>
      <c r="D40" s="63"/>
      <c r="E40" s="63"/>
    </row>
    <row r="41" spans="1:5" x14ac:dyDescent="0.2">
      <c r="A41" t="s">
        <v>370</v>
      </c>
      <c r="B41" s="69" t="s">
        <v>189</v>
      </c>
      <c r="C41" s="69" t="s">
        <v>189</v>
      </c>
      <c r="D41" s="69" t="s">
        <v>189</v>
      </c>
      <c r="E41" s="69" t="s">
        <v>189</v>
      </c>
    </row>
    <row r="43" spans="1:5" x14ac:dyDescent="0.2">
      <c r="B43" s="3" t="s">
        <v>192</v>
      </c>
      <c r="C43" s="3" t="s">
        <v>214</v>
      </c>
      <c r="D43" s="3" t="s">
        <v>215</v>
      </c>
      <c r="E43" s="3" t="s">
        <v>216</v>
      </c>
    </row>
    <row r="44" spans="1:5" x14ac:dyDescent="0.2">
      <c r="A44" t="s">
        <v>236</v>
      </c>
      <c r="B44" s="64">
        <v>0</v>
      </c>
      <c r="C44" s="64">
        <v>0</v>
      </c>
      <c r="D44" s="64">
        <v>0</v>
      </c>
      <c r="E44" s="64">
        <v>0</v>
      </c>
    </row>
    <row r="45" spans="1:5" x14ac:dyDescent="0.2">
      <c r="A45" t="s">
        <v>380</v>
      </c>
      <c r="B45" s="64">
        <v>216223</v>
      </c>
      <c r="C45" s="64">
        <v>272907</v>
      </c>
      <c r="D45" s="64">
        <v>307893</v>
      </c>
      <c r="E45" s="64">
        <v>476981</v>
      </c>
    </row>
    <row r="46" spans="1:5" x14ac:dyDescent="0.2">
      <c r="A46" t="s">
        <v>381</v>
      </c>
      <c r="B46" s="64">
        <v>49142</v>
      </c>
      <c r="C46" s="64">
        <v>126623</v>
      </c>
      <c r="D46" s="64">
        <v>208572</v>
      </c>
      <c r="E46" s="64">
        <v>233624</v>
      </c>
    </row>
    <row r="47" spans="1:5" x14ac:dyDescent="0.2">
      <c r="A47" t="s">
        <v>239</v>
      </c>
      <c r="B47" s="64">
        <v>0</v>
      </c>
      <c r="C47" s="64">
        <v>0</v>
      </c>
      <c r="D47" s="64">
        <v>0</v>
      </c>
      <c r="E47" s="64">
        <v>0</v>
      </c>
    </row>
    <row r="48" spans="1:5" x14ac:dyDescent="0.2">
      <c r="A48" t="s">
        <v>240</v>
      </c>
      <c r="B48" s="65">
        <f>SUM(B44:B47)</f>
        <v>265365</v>
      </c>
      <c r="C48" s="65">
        <f t="shared" ref="C48:E48" si="7">SUM(C44:C47)</f>
        <v>399530</v>
      </c>
      <c r="D48" s="65">
        <f t="shared" si="7"/>
        <v>516465</v>
      </c>
      <c r="E48" s="65">
        <f t="shared" si="7"/>
        <v>710605</v>
      </c>
    </row>
    <row r="49" spans="1:6" x14ac:dyDescent="0.2">
      <c r="A49" t="s">
        <v>241</v>
      </c>
      <c r="B49" s="64">
        <v>0</v>
      </c>
      <c r="C49" s="64">
        <v>0</v>
      </c>
      <c r="D49" s="64">
        <v>0</v>
      </c>
      <c r="E49" s="64">
        <v>0</v>
      </c>
      <c r="F49" t="s">
        <v>382</v>
      </c>
    </row>
    <row r="50" spans="1:6" x14ac:dyDescent="0.2">
      <c r="A50" t="s">
        <v>372</v>
      </c>
      <c r="B50" s="64">
        <v>0</v>
      </c>
      <c r="C50" s="64">
        <v>0</v>
      </c>
      <c r="D50" s="64">
        <v>0</v>
      </c>
      <c r="E50" s="64">
        <v>0</v>
      </c>
    </row>
    <row r="51" spans="1:6" x14ac:dyDescent="0.2">
      <c r="A51" t="s">
        <v>373</v>
      </c>
      <c r="B51" s="65">
        <f>+B49+B48</f>
        <v>265365</v>
      </c>
      <c r="C51" s="65">
        <f t="shared" ref="C51:E51" si="8">+C49+C48</f>
        <v>399530</v>
      </c>
      <c r="D51" s="65">
        <f t="shared" si="8"/>
        <v>516465</v>
      </c>
      <c r="E51" s="65">
        <f t="shared" si="8"/>
        <v>710605</v>
      </c>
      <c r="F51" t="s">
        <v>374</v>
      </c>
    </row>
    <row r="53" spans="1:6" x14ac:dyDescent="0.2">
      <c r="A53" t="s">
        <v>246</v>
      </c>
      <c r="B53" s="64">
        <v>169713</v>
      </c>
      <c r="C53" s="64">
        <v>263998</v>
      </c>
      <c r="D53" s="64">
        <v>332554</v>
      </c>
      <c r="E53" s="64">
        <v>471425</v>
      </c>
    </row>
    <row r="54" spans="1:6" x14ac:dyDescent="0.2">
      <c r="A54" t="s">
        <v>29</v>
      </c>
      <c r="B54" s="64">
        <v>217600</v>
      </c>
      <c r="C54" s="64">
        <f>182000+50000</f>
        <v>232000</v>
      </c>
      <c r="D54" s="64">
        <f>229600+50000</f>
        <v>279600</v>
      </c>
      <c r="E54" s="64">
        <v>324800</v>
      </c>
    </row>
    <row r="55" spans="1:6" x14ac:dyDescent="0.2">
      <c r="A55" t="s">
        <v>31</v>
      </c>
      <c r="B55" s="64">
        <v>0</v>
      </c>
      <c r="C55" s="64">
        <v>0</v>
      </c>
      <c r="D55" s="64">
        <v>0</v>
      </c>
      <c r="E55" s="64">
        <v>0</v>
      </c>
    </row>
    <row r="56" spans="1:6" x14ac:dyDescent="0.2">
      <c r="A56" s="21" t="s">
        <v>248</v>
      </c>
      <c r="B56" s="66">
        <f>SUM(B51:B55)</f>
        <v>652678</v>
      </c>
      <c r="C56" s="66">
        <f t="shared" ref="C56:E56" si="9">SUM(C51:C55)</f>
        <v>895528</v>
      </c>
      <c r="D56" s="66">
        <f t="shared" si="9"/>
        <v>1128619</v>
      </c>
      <c r="E56" s="66">
        <f t="shared" si="9"/>
        <v>1506830</v>
      </c>
    </row>
    <row r="58" spans="1:6" x14ac:dyDescent="0.2">
      <c r="A58" t="s">
        <v>249</v>
      </c>
      <c r="B58" s="64">
        <v>228480</v>
      </c>
      <c r="C58" s="64">
        <v>368302</v>
      </c>
      <c r="D58" s="64">
        <v>475421</v>
      </c>
      <c r="E58" s="64">
        <v>640800</v>
      </c>
    </row>
    <row r="59" spans="1:6" x14ac:dyDescent="0.2">
      <c r="A59" t="s">
        <v>250</v>
      </c>
      <c r="B59" s="64">
        <v>73950</v>
      </c>
      <c r="C59" s="64">
        <v>75429</v>
      </c>
      <c r="D59" s="64">
        <v>90203</v>
      </c>
      <c r="E59" s="64">
        <v>119068</v>
      </c>
    </row>
    <row r="60" spans="1:6" x14ac:dyDescent="0.2">
      <c r="A60" t="s">
        <v>375</v>
      </c>
      <c r="B60" s="64">
        <v>80070</v>
      </c>
      <c r="C60" s="64">
        <v>105080</v>
      </c>
      <c r="D60" s="64">
        <v>128406</v>
      </c>
      <c r="E60" s="64">
        <v>202415</v>
      </c>
    </row>
    <row r="61" spans="1:6" x14ac:dyDescent="0.2">
      <c r="A61" t="s">
        <v>251</v>
      </c>
      <c r="B61" s="64">
        <v>102681</v>
      </c>
      <c r="C61" s="64">
        <v>150544</v>
      </c>
      <c r="D61" s="64">
        <v>193213</v>
      </c>
      <c r="E61" s="64">
        <v>269025</v>
      </c>
    </row>
    <row r="62" spans="1:6" x14ac:dyDescent="0.2">
      <c r="A62" t="s">
        <v>252</v>
      </c>
      <c r="B62" s="65">
        <f>SUM(B58:B61)</f>
        <v>485181</v>
      </c>
      <c r="C62" s="65">
        <f t="shared" ref="C62:E62" si="10">SUM(C58:C61)</f>
        <v>699355</v>
      </c>
      <c r="D62" s="65">
        <f t="shared" si="10"/>
        <v>887243</v>
      </c>
      <c r="E62" s="65">
        <f t="shared" si="10"/>
        <v>1231308</v>
      </c>
    </row>
    <row r="63" spans="1:6" x14ac:dyDescent="0.2">
      <c r="B63" s="64"/>
    </row>
    <row r="64" spans="1:6" x14ac:dyDescent="0.2">
      <c r="A64" t="s">
        <v>253</v>
      </c>
      <c r="B64" s="64">
        <v>42177</v>
      </c>
      <c r="C64" s="64">
        <v>64141</v>
      </c>
      <c r="D64" s="64">
        <v>82668</v>
      </c>
      <c r="E64" s="64">
        <v>116903</v>
      </c>
    </row>
    <row r="65" spans="1:6" x14ac:dyDescent="0.2">
      <c r="A65" t="s">
        <v>254</v>
      </c>
      <c r="B65" s="64">
        <v>114134</v>
      </c>
      <c r="C65" s="64">
        <v>119502</v>
      </c>
      <c r="D65" s="64">
        <v>133997</v>
      </c>
      <c r="E65" s="64">
        <v>158549</v>
      </c>
    </row>
    <row r="66" spans="1:6" x14ac:dyDescent="0.2">
      <c r="A66" t="s">
        <v>43</v>
      </c>
      <c r="B66" s="64">
        <v>0</v>
      </c>
      <c r="C66" s="64">
        <v>0</v>
      </c>
      <c r="D66" s="64">
        <v>0</v>
      </c>
      <c r="E66" s="64">
        <v>0</v>
      </c>
      <c r="F66" t="s">
        <v>383</v>
      </c>
    </row>
    <row r="67" spans="1:6" x14ac:dyDescent="0.2">
      <c r="A67" t="s">
        <v>255</v>
      </c>
      <c r="B67" s="64">
        <v>0</v>
      </c>
      <c r="C67" s="64">
        <v>0</v>
      </c>
      <c r="D67" s="64">
        <v>0</v>
      </c>
      <c r="E67" s="64">
        <v>0</v>
      </c>
      <c r="F67" t="s">
        <v>384</v>
      </c>
    </row>
    <row r="68" spans="1:6" x14ac:dyDescent="0.2">
      <c r="A68" s="21" t="s">
        <v>256</v>
      </c>
      <c r="B68" s="66">
        <f>SUM(B62:B67)</f>
        <v>641492</v>
      </c>
      <c r="C68" s="66">
        <f t="shared" ref="C68:E68" si="11">SUM(C62:C67)</f>
        <v>882998</v>
      </c>
      <c r="D68" s="66">
        <f t="shared" si="11"/>
        <v>1103908</v>
      </c>
      <c r="E68" s="66">
        <f t="shared" si="11"/>
        <v>1506760</v>
      </c>
    </row>
    <row r="69" spans="1:6" x14ac:dyDescent="0.2">
      <c r="B69" s="64"/>
      <c r="C69" s="64"/>
      <c r="D69" s="64"/>
      <c r="E69" s="64"/>
    </row>
    <row r="70" spans="1:6" ht="17" thickBot="1" x14ac:dyDescent="0.25">
      <c r="A70" s="21" t="s">
        <v>257</v>
      </c>
      <c r="B70" s="67">
        <f>+B56-B68</f>
        <v>11186</v>
      </c>
      <c r="C70" s="67">
        <f t="shared" ref="C70:E70" si="12">+C56-C68</f>
        <v>12530</v>
      </c>
      <c r="D70" s="67">
        <f t="shared" si="12"/>
        <v>24711</v>
      </c>
      <c r="E70" s="67">
        <f t="shared" si="12"/>
        <v>70</v>
      </c>
    </row>
    <row r="71" spans="1:6" ht="17" thickTop="1" x14ac:dyDescent="0.2"/>
    <row r="72" spans="1:6" x14ac:dyDescent="0.2">
      <c r="B72" t="s">
        <v>385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B716A-22B8-6C45-A969-ACD3FDC2D934}">
  <dimension ref="A1:G74"/>
  <sheetViews>
    <sheetView topLeftCell="A36" zoomScale="125" workbookViewId="0">
      <selection activeCell="C46" sqref="C46"/>
    </sheetView>
  </sheetViews>
  <sheetFormatPr baseColWidth="10" defaultColWidth="11" defaultRowHeight="16" x14ac:dyDescent="0.2"/>
  <cols>
    <col min="1" max="1" width="42.6640625" customWidth="1"/>
    <col min="2" max="2" width="11.1640625" customWidth="1"/>
    <col min="3" max="3" width="12" customWidth="1"/>
    <col min="4" max="4" width="12.6640625" customWidth="1"/>
    <col min="5" max="5" width="13" customWidth="1"/>
    <col min="6" max="6" width="5" customWidth="1"/>
  </cols>
  <sheetData>
    <row r="1" spans="1:7" ht="19" x14ac:dyDescent="0.25">
      <c r="A1" s="22" t="s">
        <v>158</v>
      </c>
    </row>
    <row r="2" spans="1:7" ht="19" x14ac:dyDescent="0.25">
      <c r="A2" s="22" t="s">
        <v>0</v>
      </c>
    </row>
    <row r="4" spans="1:7" x14ac:dyDescent="0.2">
      <c r="A4" t="s">
        <v>386</v>
      </c>
    </row>
    <row r="5" spans="1:7" x14ac:dyDescent="0.2">
      <c r="A5" t="s">
        <v>387</v>
      </c>
    </row>
    <row r="6" spans="1:7" x14ac:dyDescent="0.2">
      <c r="A6" t="s">
        <v>388</v>
      </c>
    </row>
    <row r="8" spans="1:7" x14ac:dyDescent="0.2">
      <c r="B8" s="3" t="s">
        <v>192</v>
      </c>
      <c r="C8" s="3" t="s">
        <v>214</v>
      </c>
      <c r="D8" s="3" t="s">
        <v>215</v>
      </c>
      <c r="E8" s="3" t="s">
        <v>216</v>
      </c>
    </row>
    <row r="10" spans="1:7" x14ac:dyDescent="0.2">
      <c r="A10" t="s">
        <v>218</v>
      </c>
      <c r="B10" s="42">
        <v>10000</v>
      </c>
      <c r="C10" s="42">
        <f>+B10*1.02</f>
        <v>10200</v>
      </c>
      <c r="D10" s="42">
        <f t="shared" ref="D10" si="0">+C10*1.02</f>
        <v>10404</v>
      </c>
      <c r="E10" s="42">
        <f t="shared" ref="E10" si="1">+D10*1.02</f>
        <v>10612.08</v>
      </c>
    </row>
    <row r="11" spans="1:7" x14ac:dyDescent="0.2">
      <c r="A11" t="s">
        <v>220</v>
      </c>
      <c r="B11" s="42">
        <v>10000</v>
      </c>
      <c r="C11" s="42">
        <f>+B11*1.02</f>
        <v>10200</v>
      </c>
      <c r="D11" s="42">
        <f t="shared" ref="D11:E12" si="2">+C11*1.02</f>
        <v>10404</v>
      </c>
      <c r="E11" s="42">
        <f t="shared" si="2"/>
        <v>10612.08</v>
      </c>
      <c r="G11" t="s">
        <v>389</v>
      </c>
    </row>
    <row r="12" spans="1:7" x14ac:dyDescent="0.2">
      <c r="A12" t="s">
        <v>221</v>
      </c>
      <c r="B12" s="42">
        <v>10000</v>
      </c>
      <c r="C12" s="42">
        <f>+B12*1.02</f>
        <v>10200</v>
      </c>
      <c r="D12" s="42">
        <f t="shared" si="2"/>
        <v>10404</v>
      </c>
      <c r="E12" s="42">
        <f t="shared" si="2"/>
        <v>10612.08</v>
      </c>
    </row>
    <row r="13" spans="1:7" x14ac:dyDescent="0.2">
      <c r="A13" t="s">
        <v>222</v>
      </c>
      <c r="B13" s="61" t="s">
        <v>180</v>
      </c>
      <c r="C13" s="61" t="s">
        <v>180</v>
      </c>
      <c r="D13" s="61" t="s">
        <v>180</v>
      </c>
      <c r="E13" s="61" t="s">
        <v>180</v>
      </c>
    </row>
    <row r="15" spans="1:7" x14ac:dyDescent="0.2">
      <c r="A15" t="s">
        <v>223</v>
      </c>
      <c r="B15" s="38">
        <v>16</v>
      </c>
      <c r="C15" s="38">
        <v>16</v>
      </c>
      <c r="D15" s="38">
        <v>16</v>
      </c>
      <c r="E15" s="38">
        <v>32</v>
      </c>
    </row>
    <row r="16" spans="1:7" x14ac:dyDescent="0.2">
      <c r="A16" t="s">
        <v>224</v>
      </c>
      <c r="B16" s="38">
        <v>80</v>
      </c>
      <c r="C16" s="38">
        <v>128</v>
      </c>
      <c r="D16" s="38">
        <v>144</v>
      </c>
      <c r="E16" s="38">
        <v>160</v>
      </c>
    </row>
    <row r="17" spans="1:6" x14ac:dyDescent="0.2">
      <c r="A17" t="s">
        <v>225</v>
      </c>
      <c r="B17" s="38">
        <v>0</v>
      </c>
      <c r="C17" s="38">
        <v>0</v>
      </c>
      <c r="D17" s="38">
        <v>16</v>
      </c>
      <c r="E17" s="38">
        <v>32</v>
      </c>
    </row>
    <row r="18" spans="1:6" x14ac:dyDescent="0.2">
      <c r="A18" t="s">
        <v>226</v>
      </c>
      <c r="B18" s="38">
        <v>0</v>
      </c>
      <c r="C18" s="38">
        <v>0</v>
      </c>
      <c r="D18" s="38">
        <v>0</v>
      </c>
      <c r="E18" s="38">
        <v>0</v>
      </c>
    </row>
    <row r="19" spans="1:6" x14ac:dyDescent="0.2">
      <c r="A19" t="s">
        <v>227</v>
      </c>
      <c r="B19" s="39">
        <f>SUM(B15:B18)</f>
        <v>96</v>
      </c>
      <c r="C19" s="39">
        <f t="shared" ref="C19:E19" si="3">SUM(C15:C18)</f>
        <v>144</v>
      </c>
      <c r="D19" s="39">
        <f t="shared" si="3"/>
        <v>176</v>
      </c>
      <c r="E19" s="39">
        <f t="shared" si="3"/>
        <v>224</v>
      </c>
    </row>
    <row r="21" spans="1:6" x14ac:dyDescent="0.2">
      <c r="A21" t="s">
        <v>231</v>
      </c>
      <c r="B21" s="47">
        <v>1.5</v>
      </c>
      <c r="C21" s="47">
        <v>1.5</v>
      </c>
      <c r="D21" s="47">
        <v>2.5</v>
      </c>
      <c r="E21" s="47">
        <v>2.5</v>
      </c>
    </row>
    <row r="22" spans="1:6" x14ac:dyDescent="0.2">
      <c r="A22" t="s">
        <v>232</v>
      </c>
      <c r="B22" s="47">
        <v>6.5</v>
      </c>
      <c r="C22" s="47">
        <v>9.5</v>
      </c>
      <c r="D22" s="47">
        <v>11.5</v>
      </c>
      <c r="E22" s="47">
        <v>14.5</v>
      </c>
      <c r="F22" t="s">
        <v>390</v>
      </c>
    </row>
    <row r="23" spans="1:6" x14ac:dyDescent="0.2">
      <c r="A23" t="s">
        <v>233</v>
      </c>
      <c r="B23" s="47">
        <v>0</v>
      </c>
      <c r="C23" s="47">
        <v>0</v>
      </c>
      <c r="D23" s="47">
        <v>1</v>
      </c>
      <c r="E23" s="47">
        <v>1.5</v>
      </c>
    </row>
    <row r="24" spans="1:6" x14ac:dyDescent="0.2">
      <c r="A24" t="s">
        <v>234</v>
      </c>
      <c r="B24" s="47">
        <f>+B18/Inputs!E39</f>
        <v>0</v>
      </c>
      <c r="C24" s="47">
        <v>0</v>
      </c>
      <c r="D24" s="47">
        <v>0</v>
      </c>
      <c r="E24" s="47">
        <v>0</v>
      </c>
    </row>
    <row r="25" spans="1:6" x14ac:dyDescent="0.2">
      <c r="B25" s="49">
        <f>SUM(B21:B24)</f>
        <v>8</v>
      </c>
      <c r="C25" s="49">
        <f t="shared" ref="C25:E25" si="4">SUM(C21:C24)</f>
        <v>11</v>
      </c>
      <c r="D25" s="49">
        <f t="shared" si="4"/>
        <v>15</v>
      </c>
      <c r="E25" s="49">
        <f t="shared" si="4"/>
        <v>18.5</v>
      </c>
    </row>
    <row r="26" spans="1:6" x14ac:dyDescent="0.2">
      <c r="A26" t="s">
        <v>53</v>
      </c>
      <c r="B26" s="60">
        <f>+B60/B25</f>
        <v>44250</v>
      </c>
      <c r="C26" s="60">
        <f t="shared" ref="C26:E26" si="5">+C60/C25</f>
        <v>44630.909090909088</v>
      </c>
      <c r="D26" s="60">
        <f t="shared" si="5"/>
        <v>44097</v>
      </c>
      <c r="E26" s="60">
        <f t="shared" si="5"/>
        <v>44323.45945945946</v>
      </c>
      <c r="F26" t="s">
        <v>379</v>
      </c>
    </row>
    <row r="27" spans="1:6" x14ac:dyDescent="0.2">
      <c r="A27" t="s">
        <v>54</v>
      </c>
      <c r="B27" s="62">
        <f>+B63/(SUM(B60:B62))</f>
        <v>0.21981020942408377</v>
      </c>
      <c r="C27" s="62">
        <f t="shared" ref="C27:E27" si="6">+C63/(SUM(C60:C62))</f>
        <v>0.22485606237651107</v>
      </c>
      <c r="D27" s="62">
        <f t="shared" si="6"/>
        <v>0.2286906021702553</v>
      </c>
      <c r="E27" s="62">
        <f t="shared" si="6"/>
        <v>0.23326431206172055</v>
      </c>
    </row>
    <row r="28" spans="1:6" x14ac:dyDescent="0.2">
      <c r="B28" s="55"/>
    </row>
    <row r="29" spans="1:6" x14ac:dyDescent="0.2">
      <c r="A29" t="s">
        <v>33</v>
      </c>
      <c r="B29" s="43">
        <f>+B30/B25</f>
        <v>0.5625</v>
      </c>
      <c r="C29" s="43">
        <f t="shared" ref="C29:E29" si="7">+C30/C25</f>
        <v>0.40909090909090912</v>
      </c>
      <c r="D29" s="43">
        <f t="shared" si="7"/>
        <v>0.43333333333333335</v>
      </c>
      <c r="E29" s="43">
        <f t="shared" si="7"/>
        <v>0.35135135135135137</v>
      </c>
    </row>
    <row r="30" spans="1:6" x14ac:dyDescent="0.2">
      <c r="A30" t="s">
        <v>235</v>
      </c>
      <c r="B30" s="58">
        <v>4.5</v>
      </c>
      <c r="C30" s="58">
        <v>4.5</v>
      </c>
      <c r="D30" s="58">
        <v>6.5</v>
      </c>
      <c r="E30" s="58">
        <v>6.5</v>
      </c>
      <c r="F30" t="s">
        <v>391</v>
      </c>
    </row>
    <row r="31" spans="1:6" x14ac:dyDescent="0.2">
      <c r="A31" t="s">
        <v>35</v>
      </c>
      <c r="B31" s="42">
        <f>+B61/B30</f>
        <v>48488.888888888891</v>
      </c>
      <c r="C31" s="42">
        <f t="shared" ref="C31:E31" si="8">+C61/C30</f>
        <v>49458.666666666664</v>
      </c>
      <c r="D31" s="42">
        <f t="shared" si="8"/>
        <v>44156.153846153844</v>
      </c>
      <c r="E31" s="42">
        <f t="shared" si="8"/>
        <v>45039.384615384617</v>
      </c>
    </row>
    <row r="32" spans="1:6" x14ac:dyDescent="0.2">
      <c r="A32" t="s">
        <v>365</v>
      </c>
      <c r="B32" s="63"/>
      <c r="C32" s="63"/>
      <c r="D32" s="63"/>
      <c r="E32" s="63"/>
      <c r="F32" t="s">
        <v>366</v>
      </c>
    </row>
    <row r="34" spans="1:6" x14ac:dyDescent="0.2">
      <c r="A34" t="s">
        <v>59</v>
      </c>
      <c r="B34" s="42">
        <f>+B66/B19</f>
        <v>836.02083333333337</v>
      </c>
      <c r="C34" s="42">
        <f t="shared" ref="C34:E34" si="9">+C66/C19</f>
        <v>859.45833333333337</v>
      </c>
      <c r="D34" s="42">
        <f t="shared" si="9"/>
        <v>879.13636363636363</v>
      </c>
      <c r="E34" s="42">
        <f t="shared" si="9"/>
        <v>881.77678571428567</v>
      </c>
    </row>
    <row r="35" spans="1:6" x14ac:dyDescent="0.2">
      <c r="A35" t="s">
        <v>60</v>
      </c>
      <c r="B35" s="42">
        <f>+B34</f>
        <v>836.02083333333337</v>
      </c>
      <c r="C35" s="42">
        <f t="shared" ref="C35:E35" si="10">+C34</f>
        <v>859.45833333333337</v>
      </c>
      <c r="D35" s="42">
        <f t="shared" si="10"/>
        <v>879.13636363636363</v>
      </c>
      <c r="E35" s="42">
        <f t="shared" si="10"/>
        <v>881.77678571428567</v>
      </c>
    </row>
    <row r="36" spans="1:6" x14ac:dyDescent="0.2">
      <c r="A36" t="s">
        <v>61</v>
      </c>
      <c r="B36" s="63">
        <v>0</v>
      </c>
      <c r="C36" s="63">
        <v>0</v>
      </c>
      <c r="D36" s="63">
        <v>0</v>
      </c>
      <c r="E36" s="63">
        <v>0</v>
      </c>
    </row>
    <row r="37" spans="1:6" x14ac:dyDescent="0.2">
      <c r="B37" s="63"/>
      <c r="C37" s="63"/>
      <c r="D37" s="63"/>
      <c r="E37" s="63"/>
    </row>
    <row r="38" spans="1:6" x14ac:dyDescent="0.2">
      <c r="A38" t="s">
        <v>367</v>
      </c>
      <c r="B38" s="63">
        <v>0</v>
      </c>
      <c r="C38" s="63">
        <v>0</v>
      </c>
      <c r="D38" s="63">
        <v>0</v>
      </c>
      <c r="E38" s="63">
        <v>0</v>
      </c>
    </row>
    <row r="39" spans="1:6" x14ac:dyDescent="0.2">
      <c r="A39" t="s">
        <v>368</v>
      </c>
      <c r="B39" s="63">
        <v>0</v>
      </c>
      <c r="C39" s="63">
        <v>0</v>
      </c>
      <c r="D39" s="63">
        <v>0</v>
      </c>
      <c r="E39" s="63">
        <v>0</v>
      </c>
    </row>
    <row r="40" spans="1:6" x14ac:dyDescent="0.2">
      <c r="A40" t="s">
        <v>369</v>
      </c>
      <c r="B40" s="63">
        <f>-B52/(B19*0.35)</f>
        <v>6830.357142857144</v>
      </c>
      <c r="C40" s="63">
        <f t="shared" ref="C40:E40" si="11">-C52/(C19*0.35)</f>
        <v>7431.6269841269841</v>
      </c>
      <c r="D40" s="63">
        <f t="shared" si="11"/>
        <v>7752.3376623376635</v>
      </c>
      <c r="E40" s="63">
        <f t="shared" si="11"/>
        <v>7455.5229591836742</v>
      </c>
      <c r="F40" t="s">
        <v>392</v>
      </c>
    </row>
    <row r="41" spans="1:6" x14ac:dyDescent="0.2">
      <c r="B41" s="63"/>
      <c r="C41" s="63"/>
      <c r="D41" s="63"/>
      <c r="E41" s="63"/>
    </row>
    <row r="42" spans="1:6" x14ac:dyDescent="0.2">
      <c r="A42" t="s">
        <v>370</v>
      </c>
      <c r="B42" s="69" t="s">
        <v>189</v>
      </c>
      <c r="C42" s="69" t="s">
        <v>189</v>
      </c>
      <c r="D42" s="69" t="s">
        <v>189</v>
      </c>
      <c r="E42" s="69" t="s">
        <v>189</v>
      </c>
    </row>
    <row r="44" spans="1:6" x14ac:dyDescent="0.2">
      <c r="B44" s="3" t="s">
        <v>192</v>
      </c>
      <c r="C44" s="3" t="s">
        <v>214</v>
      </c>
      <c r="D44" s="3" t="s">
        <v>215</v>
      </c>
      <c r="E44" s="3" t="s">
        <v>216</v>
      </c>
    </row>
    <row r="45" spans="1:6" x14ac:dyDescent="0.2">
      <c r="A45" t="s">
        <v>236</v>
      </c>
      <c r="B45" s="64"/>
      <c r="C45" s="64"/>
      <c r="D45" s="64"/>
      <c r="E45" s="64"/>
    </row>
    <row r="46" spans="1:6" x14ac:dyDescent="0.2">
      <c r="A46" t="s">
        <v>380</v>
      </c>
      <c r="B46" s="64">
        <v>664428</v>
      </c>
      <c r="C46" s="64">
        <v>901403</v>
      </c>
      <c r="D46" s="64">
        <v>1116603</v>
      </c>
      <c r="E46" s="64">
        <v>1859185</v>
      </c>
      <c r="F46" t="s">
        <v>393</v>
      </c>
    </row>
    <row r="47" spans="1:6" x14ac:dyDescent="0.2">
      <c r="A47" t="s">
        <v>381</v>
      </c>
      <c r="B47" s="64"/>
      <c r="C47" s="64"/>
      <c r="D47" s="64"/>
      <c r="E47" s="64"/>
    </row>
    <row r="48" spans="1:6" x14ac:dyDescent="0.2">
      <c r="A48" t="s">
        <v>239</v>
      </c>
      <c r="B48" s="64">
        <v>0</v>
      </c>
      <c r="C48" s="64">
        <v>0</v>
      </c>
      <c r="D48" s="64">
        <v>0</v>
      </c>
      <c r="E48" s="64">
        <v>0</v>
      </c>
    </row>
    <row r="49" spans="1:6" x14ac:dyDescent="0.2">
      <c r="A49" t="s">
        <v>240</v>
      </c>
      <c r="B49" s="65">
        <f>SUM(B45:B48)</f>
        <v>664428</v>
      </c>
      <c r="C49" s="65">
        <f t="shared" ref="C49:E49" si="12">SUM(C45:C48)</f>
        <v>901403</v>
      </c>
      <c r="D49" s="65">
        <f t="shared" si="12"/>
        <v>1116603</v>
      </c>
      <c r="E49" s="65">
        <f t="shared" si="12"/>
        <v>1859185</v>
      </c>
    </row>
    <row r="50" spans="1:6" x14ac:dyDescent="0.2">
      <c r="A50" t="s">
        <v>241</v>
      </c>
      <c r="B50" s="64">
        <v>0</v>
      </c>
      <c r="C50" s="64">
        <v>0</v>
      </c>
      <c r="D50" s="64">
        <v>0</v>
      </c>
      <c r="E50" s="64">
        <v>0</v>
      </c>
      <c r="F50" t="s">
        <v>382</v>
      </c>
    </row>
    <row r="51" spans="1:6" x14ac:dyDescent="0.2">
      <c r="A51" t="s">
        <v>394</v>
      </c>
      <c r="B51" s="64"/>
      <c r="C51" s="64"/>
      <c r="D51" s="64"/>
      <c r="E51" s="64"/>
    </row>
    <row r="52" spans="1:6" x14ac:dyDescent="0.2">
      <c r="A52" t="s">
        <v>395</v>
      </c>
      <c r="B52" s="64">
        <v>-229500</v>
      </c>
      <c r="C52" s="64">
        <v>-374554</v>
      </c>
      <c r="D52" s="64">
        <f>-477544</f>
        <v>-477544</v>
      </c>
      <c r="E52" s="64">
        <v>-584513</v>
      </c>
      <c r="F52" t="s">
        <v>396</v>
      </c>
    </row>
    <row r="53" spans="1:6" x14ac:dyDescent="0.2">
      <c r="A53" t="s">
        <v>373</v>
      </c>
      <c r="B53" s="65">
        <f>SUM(B49:B52)</f>
        <v>434928</v>
      </c>
      <c r="C53" s="65">
        <f t="shared" ref="C53:E53" si="13">SUM(C49:C52)</f>
        <v>526849</v>
      </c>
      <c r="D53" s="65">
        <f t="shared" si="13"/>
        <v>639059</v>
      </c>
      <c r="E53" s="65">
        <f t="shared" si="13"/>
        <v>1274672</v>
      </c>
    </row>
    <row r="55" spans="1:6" x14ac:dyDescent="0.2">
      <c r="A55" t="s">
        <v>397</v>
      </c>
      <c r="B55" s="64">
        <f>-SUM(B51:B52)</f>
        <v>229500</v>
      </c>
      <c r="C55" s="64">
        <f t="shared" ref="C55:E55" si="14">-SUM(C51:C52)</f>
        <v>374554</v>
      </c>
      <c r="D55" s="64">
        <f t="shared" si="14"/>
        <v>477544</v>
      </c>
      <c r="E55" s="64">
        <f t="shared" si="14"/>
        <v>584513</v>
      </c>
    </row>
    <row r="56" spans="1:6" x14ac:dyDescent="0.2">
      <c r="A56" t="s">
        <v>29</v>
      </c>
      <c r="B56" s="64"/>
      <c r="C56" s="64"/>
      <c r="D56" s="64"/>
      <c r="E56" s="64"/>
      <c r="F56" t="s">
        <v>398</v>
      </c>
    </row>
    <row r="57" spans="1:6" x14ac:dyDescent="0.2">
      <c r="A57" t="s">
        <v>31</v>
      </c>
      <c r="B57" s="64">
        <v>0</v>
      </c>
      <c r="C57" s="64">
        <v>0</v>
      </c>
      <c r="D57" s="64">
        <v>0</v>
      </c>
      <c r="E57" s="64">
        <v>0</v>
      </c>
      <c r="F57" t="s">
        <v>399</v>
      </c>
    </row>
    <row r="58" spans="1:6" x14ac:dyDescent="0.2">
      <c r="A58" s="21" t="s">
        <v>248</v>
      </c>
      <c r="B58" s="66">
        <f>SUM(B53:B57)</f>
        <v>664428</v>
      </c>
      <c r="C58" s="66">
        <f t="shared" ref="C58:E58" si="15">SUM(C53:C57)</f>
        <v>901403</v>
      </c>
      <c r="D58" s="66">
        <f t="shared" si="15"/>
        <v>1116603</v>
      </c>
      <c r="E58" s="66">
        <f t="shared" si="15"/>
        <v>1859185</v>
      </c>
    </row>
    <row r="60" spans="1:6" x14ac:dyDescent="0.2">
      <c r="A60" t="s">
        <v>249</v>
      </c>
      <c r="B60" s="64">
        <f>307000+27000+20000</f>
        <v>354000</v>
      </c>
      <c r="C60" s="64">
        <f>443940+27000+20000</f>
        <v>490940</v>
      </c>
      <c r="D60" s="64">
        <f>549839+66616+45000</f>
        <v>661455</v>
      </c>
      <c r="E60" s="64">
        <f>683936+73048+63000</f>
        <v>819984</v>
      </c>
    </row>
    <row r="61" spans="1:6" x14ac:dyDescent="0.2">
      <c r="A61" t="s">
        <v>250</v>
      </c>
      <c r="B61" s="64">
        <f>218200</f>
        <v>218200</v>
      </c>
      <c r="C61" s="64">
        <v>222564</v>
      </c>
      <c r="D61" s="64">
        <v>287015</v>
      </c>
      <c r="E61" s="64">
        <f>292756</f>
        <v>292756</v>
      </c>
    </row>
    <row r="62" spans="1:6" x14ac:dyDescent="0.2">
      <c r="A62" t="s">
        <v>375</v>
      </c>
      <c r="B62" s="64">
        <v>39000</v>
      </c>
      <c r="C62" s="64">
        <v>39600</v>
      </c>
      <c r="D62" s="64">
        <f>61212+9000</f>
        <v>70212</v>
      </c>
      <c r="E62" s="64">
        <f>62436+9000</f>
        <v>71436</v>
      </c>
    </row>
    <row r="63" spans="1:6" x14ac:dyDescent="0.2">
      <c r="A63" t="s">
        <v>251</v>
      </c>
      <c r="B63" s="64">
        <v>134348</v>
      </c>
      <c r="C63" s="64">
        <v>169340</v>
      </c>
      <c r="D63" s="64">
        <v>232963</v>
      </c>
      <c r="E63" s="64">
        <v>276226</v>
      </c>
    </row>
    <row r="64" spans="1:6" x14ac:dyDescent="0.2">
      <c r="A64" t="s">
        <v>252</v>
      </c>
      <c r="B64" s="65">
        <f>SUM(B60:B63)</f>
        <v>745548</v>
      </c>
      <c r="C64" s="65">
        <f t="shared" ref="C64:E64" si="16">SUM(C60:C63)</f>
        <v>922444</v>
      </c>
      <c r="D64" s="65">
        <f t="shared" si="16"/>
        <v>1251645</v>
      </c>
      <c r="E64" s="65">
        <f t="shared" si="16"/>
        <v>1460402</v>
      </c>
    </row>
    <row r="65" spans="1:6" x14ac:dyDescent="0.2">
      <c r="B65" s="64"/>
    </row>
    <row r="66" spans="1:6" x14ac:dyDescent="0.2">
      <c r="A66" t="s">
        <v>253</v>
      </c>
      <c r="B66" s="64">
        <v>80258</v>
      </c>
      <c r="C66" s="64">
        <v>123762</v>
      </c>
      <c r="D66" s="64">
        <v>154728</v>
      </c>
      <c r="E66" s="64">
        <v>197518</v>
      </c>
    </row>
    <row r="67" spans="1:6" x14ac:dyDescent="0.2">
      <c r="A67" t="s">
        <v>254</v>
      </c>
      <c r="B67" s="64">
        <f>15569+34598+119752+40000+10334</f>
        <v>220253</v>
      </c>
      <c r="C67" s="64">
        <f>7337+41283+160638+12470</f>
        <v>221728</v>
      </c>
      <c r="D67" s="64">
        <f>11066+46184+196960+16497</f>
        <v>270707</v>
      </c>
      <c r="E67" s="64">
        <f>27737+53342+251557+19814</f>
        <v>352450</v>
      </c>
    </row>
    <row r="68" spans="1:6" x14ac:dyDescent="0.2">
      <c r="A68" t="s">
        <v>43</v>
      </c>
      <c r="B68" s="64">
        <v>0</v>
      </c>
      <c r="C68" s="64">
        <v>0</v>
      </c>
      <c r="D68" s="64">
        <v>0</v>
      </c>
      <c r="E68" s="64">
        <v>0</v>
      </c>
      <c r="F68" t="s">
        <v>383</v>
      </c>
    </row>
    <row r="69" spans="1:6" x14ac:dyDescent="0.2">
      <c r="A69" t="s">
        <v>255</v>
      </c>
      <c r="B69" s="64">
        <v>0</v>
      </c>
      <c r="C69" s="64">
        <v>0</v>
      </c>
      <c r="D69" s="64">
        <v>0</v>
      </c>
      <c r="E69" s="64">
        <v>0</v>
      </c>
      <c r="F69" t="s">
        <v>384</v>
      </c>
    </row>
    <row r="70" spans="1:6" x14ac:dyDescent="0.2">
      <c r="A70" s="21" t="s">
        <v>256</v>
      </c>
      <c r="B70" s="66">
        <f>SUM(B64:B69)</f>
        <v>1046059</v>
      </c>
      <c r="C70" s="66">
        <f t="shared" ref="C70:E70" si="17">SUM(C64:C69)</f>
        <v>1267934</v>
      </c>
      <c r="D70" s="66">
        <f t="shared" si="17"/>
        <v>1677080</v>
      </c>
      <c r="E70" s="66">
        <f t="shared" si="17"/>
        <v>2010370</v>
      </c>
    </row>
    <row r="71" spans="1:6" x14ac:dyDescent="0.2">
      <c r="B71" s="64"/>
      <c r="C71" s="64"/>
      <c r="D71" s="64"/>
      <c r="E71" s="64"/>
    </row>
    <row r="72" spans="1:6" ht="17" thickBot="1" x14ac:dyDescent="0.25">
      <c r="A72" s="21" t="s">
        <v>257</v>
      </c>
      <c r="B72" s="67">
        <f>+B58-B70</f>
        <v>-381631</v>
      </c>
      <c r="C72" s="67">
        <f t="shared" ref="C72:E72" si="18">+C58-C70</f>
        <v>-366531</v>
      </c>
      <c r="D72" s="67">
        <f t="shared" si="18"/>
        <v>-560477</v>
      </c>
      <c r="E72" s="67">
        <f t="shared" si="18"/>
        <v>-151185</v>
      </c>
    </row>
    <row r="73" spans="1:6" ht="17" thickTop="1" x14ac:dyDescent="0.2"/>
    <row r="74" spans="1:6" x14ac:dyDescent="0.2">
      <c r="B74" t="s">
        <v>400</v>
      </c>
    </row>
  </sheetData>
  <pageMargins left="0.7" right="0.7" top="0.75" bottom="0.75" header="0.3" footer="0.3"/>
  <ignoredErrors>
    <ignoredError sqref="B55:C55 E5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Inputs</vt:lpstr>
      <vt:lpstr>Worksheets</vt:lpstr>
      <vt:lpstr>Dashboard</vt:lpstr>
      <vt:lpstr>Base School Model</vt:lpstr>
      <vt:lpstr>Assumptions by State</vt:lpstr>
      <vt:lpstr>Data for a Dashboard</vt:lpstr>
      <vt:lpstr>Exemplar 1</vt:lpstr>
      <vt:lpstr>Exemplar 2</vt:lpstr>
      <vt:lpstr>Exemplar 3</vt:lpstr>
      <vt:lpstr>Exemplar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Gohlmann</dc:creator>
  <cp:keywords/>
  <dc:description/>
  <cp:lastModifiedBy>Microsoft Office User</cp:lastModifiedBy>
  <cp:revision/>
  <dcterms:created xsi:type="dcterms:W3CDTF">2022-06-14T00:27:24Z</dcterms:created>
  <dcterms:modified xsi:type="dcterms:W3CDTF">2024-02-23T14:52:21Z</dcterms:modified>
  <cp:category/>
  <cp:contentStatus/>
</cp:coreProperties>
</file>